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8_{F20BBD00-15AE-4F4E-8385-D2B3144898CD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Összefoglaló-megtérülés" sheetId="3" r:id="rId1"/>
    <sheet name="Árbevétel" sheetId="1" r:id="rId2"/>
    <sheet name="Kapacitás számítás" sheetId="4" r:id="rId3"/>
    <sheet name="Költség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8" i="3" s="1"/>
  <c r="Q12" i="4"/>
  <c r="R3" i="3"/>
  <c r="R4" i="1"/>
  <c r="R7" i="1"/>
  <c r="P14" i="1"/>
  <c r="O9" i="4" s="1"/>
  <c r="Q14" i="1"/>
  <c r="P9" i="4" s="1"/>
  <c r="P9" i="1"/>
  <c r="Q9" i="1"/>
  <c r="P8" i="1"/>
  <c r="Q8" i="1"/>
  <c r="P5" i="1"/>
  <c r="Q5" i="1"/>
  <c r="C9" i="1"/>
  <c r="D9" i="1"/>
  <c r="E9" i="1"/>
  <c r="G9" i="1"/>
  <c r="H9" i="1"/>
  <c r="I9" i="1"/>
  <c r="J9" i="1"/>
  <c r="K9" i="1"/>
  <c r="L9" i="1"/>
  <c r="M9" i="1"/>
  <c r="N9" i="1"/>
  <c r="O9" i="1"/>
  <c r="F9" i="1"/>
  <c r="P15" i="1" l="1"/>
  <c r="P7" i="3" s="1"/>
  <c r="Q15" i="1"/>
  <c r="Q7" i="3" s="1"/>
  <c r="F5" i="1"/>
  <c r="E3" i="4" l="1"/>
  <c r="F10" i="2" l="1"/>
  <c r="G10" i="2" s="1"/>
  <c r="H10" i="2" s="1"/>
  <c r="F9" i="2"/>
  <c r="G9" i="2" s="1"/>
  <c r="H9" i="2" s="1"/>
  <c r="E8" i="1" l="1"/>
  <c r="F12" i="2"/>
  <c r="G12" i="2" s="1"/>
  <c r="H12" i="2" s="1"/>
  <c r="E24" i="2"/>
  <c r="E35" i="2"/>
  <c r="E30" i="2" l="1"/>
  <c r="D14" i="1"/>
  <c r="C9" i="4" s="1"/>
  <c r="E14" i="1"/>
  <c r="D9" i="4" s="1"/>
  <c r="F14" i="1"/>
  <c r="E9" i="4" s="1"/>
  <c r="G14" i="1"/>
  <c r="F9" i="4" s="1"/>
  <c r="H14" i="1"/>
  <c r="G9" i="4" s="1"/>
  <c r="I14" i="1"/>
  <c r="H9" i="4" s="1"/>
  <c r="J14" i="1"/>
  <c r="I9" i="4" s="1"/>
  <c r="K14" i="1"/>
  <c r="J9" i="4" s="1"/>
  <c r="L14" i="1"/>
  <c r="K9" i="4" s="1"/>
  <c r="M14" i="1"/>
  <c r="L9" i="4" s="1"/>
  <c r="N14" i="1"/>
  <c r="M9" i="4" s="1"/>
  <c r="O14" i="1"/>
  <c r="N9" i="4" s="1"/>
  <c r="C14" i="1"/>
  <c r="B9" i="4" s="1"/>
  <c r="R10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O8" i="1"/>
  <c r="N8" i="1"/>
  <c r="M8" i="1"/>
  <c r="L8" i="1"/>
  <c r="K8" i="1"/>
  <c r="J8" i="1"/>
  <c r="I8" i="1"/>
  <c r="H8" i="1"/>
  <c r="G8" i="1"/>
  <c r="F8" i="1"/>
  <c r="F15" i="1" s="1"/>
  <c r="E23" i="1"/>
  <c r="D8" i="1"/>
  <c r="C8" i="1"/>
  <c r="C23" i="1" s="1"/>
  <c r="D5" i="1"/>
  <c r="E5" i="1"/>
  <c r="E15" i="1" s="1"/>
  <c r="G5" i="1"/>
  <c r="H5" i="1"/>
  <c r="I5" i="1"/>
  <c r="I15" i="1" s="1"/>
  <c r="J5" i="1"/>
  <c r="J15" i="1" s="1"/>
  <c r="K5" i="1"/>
  <c r="L5" i="1"/>
  <c r="M5" i="1"/>
  <c r="N5" i="1"/>
  <c r="O5" i="1"/>
  <c r="C5" i="1"/>
  <c r="C15" i="1" s="1"/>
  <c r="B11" i="3"/>
  <c r="E4" i="4"/>
  <c r="E18" i="2"/>
  <c r="F7" i="2"/>
  <c r="G7" i="2" s="1"/>
  <c r="H7" i="2" s="1"/>
  <c r="F8" i="2"/>
  <c r="G8" i="2" s="1"/>
  <c r="H8" i="2" s="1"/>
  <c r="F11" i="2"/>
  <c r="F13" i="2"/>
  <c r="F14" i="2"/>
  <c r="G14" i="2" s="1"/>
  <c r="H14" i="2" s="1"/>
  <c r="F15" i="2"/>
  <c r="F16" i="2"/>
  <c r="G16" i="2" s="1"/>
  <c r="H16" i="2" s="1"/>
  <c r="F17" i="2"/>
  <c r="G17" i="2" s="1"/>
  <c r="H17" i="2" s="1"/>
  <c r="F6" i="2"/>
  <c r="G6" i="2" s="1"/>
  <c r="H6" i="2" s="1"/>
  <c r="D18" i="2"/>
  <c r="K15" i="1" l="1"/>
  <c r="K7" i="3" s="1"/>
  <c r="H15" i="1"/>
  <c r="H7" i="3" s="1"/>
  <c r="R14" i="1"/>
  <c r="O15" i="1"/>
  <c r="O7" i="3" s="1"/>
  <c r="G15" i="1"/>
  <c r="G7" i="3" s="1"/>
  <c r="N15" i="1"/>
  <c r="N7" i="3" s="1"/>
  <c r="M15" i="1"/>
  <c r="M7" i="3" s="1"/>
  <c r="D15" i="1"/>
  <c r="D7" i="3" s="1"/>
  <c r="L15" i="1"/>
  <c r="L7" i="3" s="1"/>
  <c r="E7" i="3"/>
  <c r="B10" i="4"/>
  <c r="I21" i="1"/>
  <c r="G11" i="2"/>
  <c r="H11" i="2" s="1"/>
  <c r="J7" i="3"/>
  <c r="I7" i="3"/>
  <c r="H23" i="1"/>
  <c r="H25" i="1" s="1"/>
  <c r="G23" i="1"/>
  <c r="G25" i="1" s="1"/>
  <c r="F23" i="1"/>
  <c r="F24" i="1" s="1"/>
  <c r="F7" i="3"/>
  <c r="D23" i="1"/>
  <c r="D25" i="1" s="1"/>
  <c r="G13" i="2"/>
  <c r="H13" i="2" s="1"/>
  <c r="K21" i="1"/>
  <c r="J21" i="1"/>
  <c r="H21" i="1"/>
  <c r="G21" i="1"/>
  <c r="F21" i="1"/>
  <c r="D21" i="1"/>
  <c r="C21" i="1"/>
  <c r="E21" i="1"/>
  <c r="E25" i="1"/>
  <c r="E24" i="1"/>
  <c r="C24" i="1"/>
  <c r="C25" i="1"/>
  <c r="F18" i="2"/>
  <c r="G15" i="2"/>
  <c r="H15" i="2" s="1"/>
  <c r="Q9" i="4" l="1"/>
  <c r="C7" i="3"/>
  <c r="R7" i="3" s="1"/>
  <c r="R15" i="1"/>
  <c r="B11" i="4"/>
  <c r="B13" i="4" s="1"/>
  <c r="C5" i="3" s="1"/>
  <c r="H24" i="1"/>
  <c r="D24" i="1"/>
  <c r="R23" i="1"/>
  <c r="G24" i="1"/>
  <c r="F25" i="1"/>
  <c r="R21" i="1"/>
  <c r="H18" i="2"/>
  <c r="E2" i="2" s="1"/>
  <c r="C4" i="3" s="1"/>
  <c r="G18" i="2"/>
  <c r="C8" i="4" l="1"/>
  <c r="R24" i="1"/>
  <c r="F2" i="2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E3" i="2"/>
  <c r="P4" i="3" l="1"/>
  <c r="R3" i="2"/>
  <c r="S2" i="2"/>
  <c r="F3" i="2"/>
  <c r="D4" i="3"/>
  <c r="Q4" i="3" l="1"/>
  <c r="S3" i="2"/>
  <c r="G3" i="2"/>
  <c r="E4" i="3"/>
  <c r="H3" i="2" l="1"/>
  <c r="F4" i="3"/>
  <c r="I3" i="2" l="1"/>
  <c r="G4" i="3"/>
  <c r="J3" i="2" l="1"/>
  <c r="H4" i="3"/>
  <c r="K3" i="2" l="1"/>
  <c r="I4" i="3"/>
  <c r="L3" i="2" l="1"/>
  <c r="J4" i="3"/>
  <c r="C10" i="4"/>
  <c r="C11" i="4" s="1"/>
  <c r="C13" i="4" s="1"/>
  <c r="D5" i="3" l="1"/>
  <c r="D8" i="4"/>
  <c r="C8" i="3"/>
  <c r="M3" i="2"/>
  <c r="K4" i="3"/>
  <c r="C6" i="3" l="1"/>
  <c r="N3" i="2"/>
  <c r="L4" i="3"/>
  <c r="D6" i="3"/>
  <c r="D8" i="3"/>
  <c r="D10" i="4"/>
  <c r="D11" i="4" s="1"/>
  <c r="D13" i="4" s="1"/>
  <c r="E5" i="3" l="1"/>
  <c r="E8" i="4"/>
  <c r="E10" i="4" s="1"/>
  <c r="E11" i="4" s="1"/>
  <c r="E13" i="4" s="1"/>
  <c r="O3" i="2"/>
  <c r="M4" i="3"/>
  <c r="Q3" i="2" l="1"/>
  <c r="P3" i="2"/>
  <c r="N4" i="3"/>
  <c r="E6" i="3"/>
  <c r="E8" i="3"/>
  <c r="F5" i="3" l="1"/>
  <c r="F8" i="3" s="1"/>
  <c r="F8" i="4"/>
  <c r="F10" i="4" s="1"/>
  <c r="F11" i="4" s="1"/>
  <c r="F13" i="4" s="1"/>
  <c r="O4" i="3"/>
  <c r="R4" i="3" s="1"/>
  <c r="F6" i="3" l="1"/>
  <c r="G5" i="3" l="1"/>
  <c r="G8" i="3" s="1"/>
  <c r="G8" i="4"/>
  <c r="G10" i="4" s="1"/>
  <c r="G11" i="4" s="1"/>
  <c r="G13" i="4" s="1"/>
  <c r="H5" i="3" l="1"/>
  <c r="H8" i="4"/>
  <c r="H10" i="4" s="1"/>
  <c r="H11" i="4" s="1"/>
  <c r="H13" i="4" s="1"/>
  <c r="G6" i="3"/>
  <c r="H8" i="3" l="1"/>
  <c r="H6" i="3"/>
  <c r="B12" i="3" l="1"/>
  <c r="I5" i="3"/>
  <c r="I8" i="3" s="1"/>
  <c r="I8" i="4"/>
  <c r="I10" i="4" s="1"/>
  <c r="I11" i="4" s="1"/>
  <c r="I13" i="4" s="1"/>
  <c r="I6" i="3" l="1"/>
  <c r="J5" i="3" l="1"/>
  <c r="J8" i="4"/>
  <c r="J10" i="4" s="1"/>
  <c r="J11" i="4" s="1"/>
  <c r="J13" i="4" s="1"/>
  <c r="J6" i="3" l="1"/>
  <c r="K8" i="4"/>
  <c r="K10" i="4" s="1"/>
  <c r="K11" i="4" s="1"/>
  <c r="K13" i="4" s="1"/>
  <c r="K5" i="3"/>
  <c r="K6" i="3" s="1"/>
  <c r="J8" i="3"/>
  <c r="B13" i="3" l="1"/>
  <c r="L5" i="3"/>
  <c r="L8" i="4"/>
  <c r="L10" i="4" s="1"/>
  <c r="L11" i="4" s="1"/>
  <c r="L13" i="4" s="1"/>
  <c r="K8" i="3"/>
  <c r="B14" i="3" s="1"/>
  <c r="L8" i="3" l="1"/>
  <c r="L6" i="3"/>
  <c r="M5" i="3"/>
  <c r="M8" i="3" s="1"/>
  <c r="M8" i="4"/>
  <c r="M10" i="4" s="1"/>
  <c r="M11" i="4" s="1"/>
  <c r="M13" i="4" s="1"/>
  <c r="B15" i="3" l="1"/>
  <c r="N5" i="3"/>
  <c r="N8" i="3" s="1"/>
  <c r="N8" i="4"/>
  <c r="N10" i="4" s="1"/>
  <c r="N11" i="4" s="1"/>
  <c r="N13" i="4" s="1"/>
  <c r="M6" i="3"/>
  <c r="N6" i="3" l="1"/>
  <c r="O5" i="3" l="1"/>
  <c r="O8" i="4"/>
  <c r="O10" i="4" s="1"/>
  <c r="O11" i="4" s="1"/>
  <c r="O13" i="4" s="1"/>
  <c r="P5" i="3" s="1"/>
  <c r="Q11" i="4"/>
  <c r="P8" i="3" l="1"/>
  <c r="P6" i="3"/>
  <c r="P8" i="4"/>
  <c r="P10" i="4" s="1"/>
  <c r="P11" i="4" s="1"/>
  <c r="P13" i="4" s="1"/>
  <c r="Q5" i="3" s="1"/>
  <c r="Q13" i="4"/>
  <c r="O8" i="3"/>
  <c r="O6" i="3"/>
  <c r="Q6" i="3" l="1"/>
  <c r="R6" i="3" s="1"/>
  <c r="Q8" i="3"/>
  <c r="B17" i="3" s="1"/>
  <c r="R5" i="3"/>
  <c r="B16" i="3"/>
  <c r="R8" i="3" l="1"/>
  <c r="B19" i="3" s="1"/>
</calcChain>
</file>

<file path=xl/sharedStrings.xml><?xml version="1.0" encoding="utf-8"?>
<sst xmlns="http://schemas.openxmlformats.org/spreadsheetml/2006/main" count="112" uniqueCount="83">
  <si>
    <t>Személyi jellegű ráfordítások</t>
  </si>
  <si>
    <t>Vételár</t>
  </si>
  <si>
    <t>Környezetvédelmi feladatok</t>
  </si>
  <si>
    <t>Üzemeltetési költségek</t>
  </si>
  <si>
    <t xml:space="preserve"> Gép-berendezés beszerzés/bérlés</t>
  </si>
  <si>
    <t>Telepvezető</t>
  </si>
  <si>
    <t>Telepvezető helyettes</t>
  </si>
  <si>
    <t>létszám, fő</t>
  </si>
  <si>
    <t>Felügyelő bizottság</t>
  </si>
  <si>
    <t>Környezetvédelmi megbízott</t>
  </si>
  <si>
    <t>Mérlegkezelő</t>
  </si>
  <si>
    <t>Adminisztrátor</t>
  </si>
  <si>
    <t>Gépkezelő</t>
  </si>
  <si>
    <t>Karbantartó</t>
  </si>
  <si>
    <t>Besorolási bruttó bér</t>
  </si>
  <si>
    <t>Bérköltség járulékkal</t>
  </si>
  <si>
    <t>Bérköltség/hó</t>
  </si>
  <si>
    <t>Bérköltség/év</t>
  </si>
  <si>
    <t>Hatósági díjak</t>
  </si>
  <si>
    <t>Üzemanyag</t>
  </si>
  <si>
    <t>Laborköltségek</t>
  </si>
  <si>
    <t>Vezérigazgató</t>
  </si>
  <si>
    <t>Igazgatósági tag</t>
  </si>
  <si>
    <t>tonna</t>
  </si>
  <si>
    <t>m3</t>
  </si>
  <si>
    <t>Költség</t>
  </si>
  <si>
    <t>Kiépítetlen szabad kapacitás</t>
  </si>
  <si>
    <t>Beruházás</t>
  </si>
  <si>
    <t>Összesen</t>
  </si>
  <si>
    <t>Kapacitáskiépítés várható költsége, nettó Ft</t>
  </si>
  <si>
    <t>Árbevétel</t>
  </si>
  <si>
    <t>Nyereség (árbevétel-(költség+beruházás))</t>
  </si>
  <si>
    <t>Átvett mennyiség, tonna</t>
  </si>
  <si>
    <t>Átvett mennyiség, kg</t>
  </si>
  <si>
    <t>Egységár, Ft/kg</t>
  </si>
  <si>
    <t>3. kategória: 40000 tonna fölött</t>
  </si>
  <si>
    <t>-</t>
  </si>
  <si>
    <t>Kiépített, engedélyezett szabad kapacitás</t>
  </si>
  <si>
    <t>A mennyiségek függvényében</t>
  </si>
  <si>
    <t>Szükséges mennyiségek tonnában a 6 éves megtérüléshez</t>
  </si>
  <si>
    <t>Kedvezményből megtérülés</t>
  </si>
  <si>
    <t>Munkabér</t>
  </si>
  <si>
    <t xml:space="preserve">Vételár </t>
  </si>
  <si>
    <t>ha a vásárlás során nem kapjuk</t>
  </si>
  <si>
    <t>Szállító gép földszállítsához (min 1 db)</t>
  </si>
  <si>
    <t>/év</t>
  </si>
  <si>
    <t>Közmű (áram, víz, fűtés, informatika, őrzés)</t>
  </si>
  <si>
    <t>Egyéb anyagköltség (alkatrész, javítás egyéb)</t>
  </si>
  <si>
    <t>Költségek összesen beruházás nélkül, Ft</t>
  </si>
  <si>
    <t>Költségek összesen beruházás Ft/kg (27500 tonnára)</t>
  </si>
  <si>
    <t>Földmunka gépek (2 db, mélyásó és dózer)</t>
  </si>
  <si>
    <t>700 MFt megtérülése a Cirkontnak</t>
  </si>
  <si>
    <t>Tehát a 27500 tonnán felül évenként +tonnának kell beérkeznie a megtérüléshez évenként</t>
  </si>
  <si>
    <t>Mennyiség alakulás összesen, tonna/év</t>
  </si>
  <si>
    <t>Árbevétel alakulás, Ft/év</t>
  </si>
  <si>
    <t>Rendelkezésre álló szabad kapacitás, tonna</t>
  </si>
  <si>
    <t>Beszállított hulladékmennyiség, tonna</t>
  </si>
  <si>
    <t>Kiépített szabad kapcitás, tonna</t>
  </si>
  <si>
    <t>Csurgalékvíz szállító (1 db)</t>
  </si>
  <si>
    <t>Összes ráfordítás (vételár, költség, beruházás)</t>
  </si>
  <si>
    <t>Beruházási érték, Ft</t>
  </si>
  <si>
    <t>Nyereség 6 éves</t>
  </si>
  <si>
    <t>Nyereség 8 éves</t>
  </si>
  <si>
    <t>Nyereség 10 éves</t>
  </si>
  <si>
    <t>Nyereség 12 éves</t>
  </si>
  <si>
    <t>(dózer+kotró)</t>
  </si>
  <si>
    <t>Könyvelő</t>
  </si>
  <si>
    <t>Könyvvizsgáló</t>
  </si>
  <si>
    <t>Nereség 9 éves</t>
  </si>
  <si>
    <t>Évenként 2 % indexálással</t>
  </si>
  <si>
    <t>csak beruházáshoz szükséges</t>
  </si>
  <si>
    <t>(2 nehézmunkagép)</t>
  </si>
  <si>
    <t>Várható megtérülés</t>
  </si>
  <si>
    <t>év</t>
  </si>
  <si>
    <t>szocépület nem, őrzés, informatika csak eseti fejlesztést igényel</t>
  </si>
  <si>
    <t>kiszervezve</t>
  </si>
  <si>
    <t>1. kategória: fedett depónia</t>
  </si>
  <si>
    <t>Nyereség 15 éves</t>
  </si>
  <si>
    <t>Tervezési díj</t>
  </si>
  <si>
    <t>2. kategória: Kármentesítés monodepó</t>
  </si>
  <si>
    <t>nettó ár, nem tartalmaz lerakási járulékot és az átfutó tételeket, mert az az átvételi egységárhoz hozzáaadódik majd</t>
  </si>
  <si>
    <t>1 db Nyitott,       40 000 tonna kapcitású tároló kivitelezé-sével együtt</t>
  </si>
  <si>
    <t>Építendő kapacitás (fedett), tonna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</si>
</sst>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0" fillId="0" borderId="0" xfId="0" applyNumberFormat="1"/>
    <xf numFmtId="0" fontId="0" fillId="0" borderId="2" xfId="0" applyBorder="1"/>
    <xf numFmtId="0" fontId="0" fillId="0" borderId="5" xfId="0" applyBorder="1"/>
    <xf numFmtId="0" fontId="0" fillId="0" borderId="8" xfId="0" applyBorder="1"/>
    <xf numFmtId="3" fontId="0" fillId="0" borderId="5" xfId="0" applyNumberFormat="1" applyBorder="1"/>
    <xf numFmtId="3" fontId="0" fillId="0" borderId="6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0" borderId="0" xfId="0" applyNumberFormat="1" applyAlignment="1">
      <alignment horizontal="center" vertical="center"/>
    </xf>
    <xf numFmtId="164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shrinkToFit="1"/>
    </xf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8" xfId="0" applyNumberFormat="1" applyFont="1" applyBorder="1"/>
    <xf numFmtId="3" fontId="1" fillId="0" borderId="9" xfId="0" applyNumberFormat="1" applyFont="1" applyBorder="1"/>
    <xf numFmtId="0" fontId="0" fillId="0" borderId="5" xfId="0" applyBorder="1" applyAlignment="1">
      <alignment horizontal="center"/>
    </xf>
    <xf numFmtId="0" fontId="0" fillId="0" borderId="10" xfId="0" applyBorder="1"/>
    <xf numFmtId="0" fontId="1" fillId="0" borderId="11" xfId="0" applyFont="1" applyBorder="1"/>
    <xf numFmtId="0" fontId="1" fillId="0" borderId="5" xfId="0" applyFont="1" applyBorder="1"/>
    <xf numFmtId="3" fontId="0" fillId="0" borderId="10" xfId="0" applyNumberFormat="1" applyBorder="1"/>
    <xf numFmtId="3" fontId="1" fillId="0" borderId="11" xfId="0" applyNumberFormat="1" applyFont="1" applyBorder="1"/>
    <xf numFmtId="3" fontId="1" fillId="0" borderId="5" xfId="0" applyNumberFormat="1" applyFont="1" applyBorder="1"/>
    <xf numFmtId="0" fontId="3" fillId="0" borderId="0" xfId="0" applyFont="1"/>
    <xf numFmtId="0" fontId="3" fillId="0" borderId="5" xfId="0" applyFont="1" applyBorder="1"/>
    <xf numFmtId="0" fontId="3" fillId="0" borderId="13" xfId="0" applyFont="1" applyBorder="1"/>
    <xf numFmtId="0" fontId="3" fillId="0" borderId="14" xfId="0" applyFont="1" applyBorder="1"/>
    <xf numFmtId="3" fontId="3" fillId="0" borderId="5" xfId="0" applyNumberFormat="1" applyFont="1" applyBorder="1"/>
    <xf numFmtId="2" fontId="3" fillId="0" borderId="5" xfId="0" applyNumberFormat="1" applyFont="1" applyBorder="1"/>
    <xf numFmtId="0" fontId="4" fillId="0" borderId="5" xfId="0" applyFont="1" applyBorder="1"/>
    <xf numFmtId="3" fontId="3" fillId="0" borderId="0" xfId="0" applyNumberFormat="1" applyFont="1"/>
    <xf numFmtId="0" fontId="4" fillId="0" borderId="12" xfId="0" applyFont="1" applyBorder="1"/>
    <xf numFmtId="0" fontId="3" fillId="0" borderId="16" xfId="0" applyFont="1" applyBorder="1"/>
    <xf numFmtId="0" fontId="3" fillId="0" borderId="11" xfId="0" applyFont="1" applyBorder="1"/>
    <xf numFmtId="0" fontId="3" fillId="0" borderId="5" xfId="0" quotePrefix="1" applyFont="1" applyBorder="1"/>
    <xf numFmtId="3" fontId="3" fillId="0" borderId="15" xfId="0" applyNumberFormat="1" applyFont="1" applyBorder="1"/>
    <xf numFmtId="0" fontId="3" fillId="0" borderId="0" xfId="0" quotePrefix="1" applyFont="1"/>
    <xf numFmtId="0" fontId="3" fillId="0" borderId="11" xfId="0" quotePrefix="1" applyFont="1" applyBorder="1"/>
    <xf numFmtId="2" fontId="1" fillId="0" borderId="0" xfId="0" applyNumberFormat="1" applyFont="1"/>
    <xf numFmtId="3" fontId="0" fillId="2" borderId="2" xfId="0" applyNumberFormat="1" applyFill="1" applyBorder="1" applyProtection="1">
      <protection locked="0"/>
    </xf>
    <xf numFmtId="0" fontId="5" fillId="0" borderId="0" xfId="0" applyFont="1"/>
    <xf numFmtId="3" fontId="5" fillId="0" borderId="0" xfId="0" applyNumberFormat="1" applyFont="1"/>
    <xf numFmtId="0" fontId="6" fillId="0" borderId="12" xfId="0" applyFont="1" applyBorder="1"/>
    <xf numFmtId="0" fontId="5" fillId="0" borderId="5" xfId="0" applyFont="1" applyBorder="1"/>
    <xf numFmtId="0" fontId="5" fillId="0" borderId="13" xfId="0" applyFont="1" applyBorder="1"/>
    <xf numFmtId="0" fontId="5" fillId="0" borderId="14" xfId="0" applyFont="1" applyBorder="1"/>
    <xf numFmtId="3" fontId="5" fillId="0" borderId="15" xfId="0" applyNumberFormat="1" applyFont="1" applyBorder="1"/>
    <xf numFmtId="0" fontId="5" fillId="0" borderId="0" xfId="0" quotePrefix="1" applyFont="1"/>
    <xf numFmtId="0" fontId="5" fillId="0" borderId="16" xfId="0" applyFont="1" applyBorder="1"/>
    <xf numFmtId="3" fontId="5" fillId="0" borderId="14" xfId="0" applyNumberFormat="1" applyFont="1" applyBorder="1"/>
    <xf numFmtId="0" fontId="5" fillId="0" borderId="11" xfId="0" applyFont="1" applyBorder="1"/>
    <xf numFmtId="3" fontId="5" fillId="0" borderId="5" xfId="0" applyNumberFormat="1" applyFont="1" applyBorder="1"/>
    <xf numFmtId="0" fontId="5" fillId="0" borderId="5" xfId="0" quotePrefix="1" applyFont="1" applyBorder="1"/>
    <xf numFmtId="3" fontId="0" fillId="0" borderId="16" xfId="0" applyNumberFormat="1" applyBorder="1"/>
    <xf numFmtId="3" fontId="0" fillId="2" borderId="0" xfId="0" applyNumberFormat="1" applyFill="1"/>
    <xf numFmtId="0" fontId="0" fillId="0" borderId="5" xfId="0" applyBorder="1" applyAlignment="1">
      <alignment horizontal="center" vertical="center"/>
    </xf>
    <xf numFmtId="3" fontId="0" fillId="0" borderId="18" xfId="0" applyNumberFormat="1" applyBorder="1"/>
    <xf numFmtId="3" fontId="0" fillId="2" borderId="19" xfId="0" applyNumberFormat="1" applyFill="1" applyBorder="1"/>
    <xf numFmtId="4" fontId="0" fillId="0" borderId="8" xfId="0" applyNumberFormat="1" applyBorder="1"/>
    <xf numFmtId="4" fontId="0" fillId="0" borderId="20" xfId="0" applyNumberFormat="1" applyBorder="1"/>
    <xf numFmtId="3" fontId="7" fillId="0" borderId="0" xfId="0" applyNumberFormat="1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22"/>
  <sheetViews>
    <sheetView tabSelected="1" workbookViewId="0">
      <selection activeCell="A5" sqref="A5"/>
    </sheetView>
  </sheetViews>
  <sheetFormatPr defaultRowHeight="14.5" x14ac:dyDescent="0.35"/>
  <cols>
    <col min="1" max="1" width="42.54296875" bestFit="1" customWidth="1"/>
    <col min="2" max="2" width="12.7265625" bestFit="1" customWidth="1"/>
    <col min="3" max="3" width="16" bestFit="1" customWidth="1"/>
    <col min="4" max="8" width="11.54296875" bestFit="1" customWidth="1"/>
    <col min="9" max="9" width="12.26953125" bestFit="1" customWidth="1"/>
    <col min="10" max="14" width="11.54296875" bestFit="1" customWidth="1"/>
    <col min="15" max="15" width="13.1796875" bestFit="1" customWidth="1"/>
    <col min="16" max="17" width="13.1796875" customWidth="1"/>
    <col min="18" max="18" width="12.26953125" bestFit="1" customWidth="1"/>
  </cols>
  <sheetData>
    <row r="2" spans="1:18" x14ac:dyDescent="0.35">
      <c r="A2" s="3"/>
      <c r="B2" s="25">
        <v>2019</v>
      </c>
      <c r="C2" s="25">
        <v>2020</v>
      </c>
      <c r="D2" s="25">
        <v>2021</v>
      </c>
      <c r="E2" s="25">
        <v>2022</v>
      </c>
      <c r="F2" s="25">
        <v>2023</v>
      </c>
      <c r="G2" s="25">
        <v>2024</v>
      </c>
      <c r="H2" s="25">
        <v>2025</v>
      </c>
      <c r="I2" s="25">
        <v>2026</v>
      </c>
      <c r="J2" s="25">
        <v>2027</v>
      </c>
      <c r="K2" s="25">
        <v>2028</v>
      </c>
      <c r="L2" s="25">
        <v>2029</v>
      </c>
      <c r="M2" s="25">
        <v>2030</v>
      </c>
      <c r="N2" s="25">
        <v>2031</v>
      </c>
      <c r="O2" s="25">
        <v>2032</v>
      </c>
      <c r="P2" s="25">
        <v>2033</v>
      </c>
      <c r="Q2" s="25">
        <v>2034</v>
      </c>
      <c r="R2" s="3" t="s">
        <v>28</v>
      </c>
    </row>
    <row r="3" spans="1:18" x14ac:dyDescent="0.35">
      <c r="A3" s="3" t="s">
        <v>1</v>
      </c>
      <c r="B3" s="5">
        <v>500000000</v>
      </c>
      <c r="C3" s="5">
        <v>400000000</v>
      </c>
      <c r="D3" s="5">
        <v>400000000</v>
      </c>
      <c r="E3" s="5">
        <v>400000000</v>
      </c>
      <c r="F3" s="62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f t="shared" ref="R3:R8" si="0">SUM(B3:Q3)</f>
        <v>1700000000</v>
      </c>
    </row>
    <row r="4" spans="1:18" x14ac:dyDescent="0.35">
      <c r="A4" s="3" t="s">
        <v>25</v>
      </c>
      <c r="B4" s="5">
        <v>0</v>
      </c>
      <c r="C4" s="5">
        <f>Költség!E2</f>
        <v>57766000</v>
      </c>
      <c r="D4" s="5">
        <f>Költség!F2</f>
        <v>58921320</v>
      </c>
      <c r="E4" s="5">
        <f>Költség!G2</f>
        <v>60099746.399999999</v>
      </c>
      <c r="F4" s="5">
        <f>Költség!H2</f>
        <v>61301741.328000002</v>
      </c>
      <c r="G4" s="5">
        <f>Költség!I2</f>
        <v>62527776.15456</v>
      </c>
      <c r="H4" s="5">
        <f>Költség!J2</f>
        <v>63778331.677651204</v>
      </c>
      <c r="I4" s="5">
        <f>Költség!K2</f>
        <v>65053898.311204232</v>
      </c>
      <c r="J4" s="5">
        <f>Költség!L2</f>
        <v>66354976.277428322</v>
      </c>
      <c r="K4" s="5">
        <f>Költség!M2</f>
        <v>67682075.802976891</v>
      </c>
      <c r="L4" s="5">
        <f>Költség!N2</f>
        <v>69035717.319036424</v>
      </c>
      <c r="M4" s="5">
        <f>Költség!O2</f>
        <v>70416431.66541715</v>
      </c>
      <c r="N4" s="5">
        <f>Költség!P2</f>
        <v>71824760.298725501</v>
      </c>
      <c r="O4" s="5">
        <f>Költség!Q2</f>
        <v>73261255.504700005</v>
      </c>
      <c r="P4" s="5">
        <f>Költség!R2</f>
        <v>74726480.614794001</v>
      </c>
      <c r="Q4" s="5">
        <f>Költség!S2</f>
        <v>76221010.227089882</v>
      </c>
      <c r="R4" s="5">
        <f t="shared" si="0"/>
        <v>998971521.58158374</v>
      </c>
    </row>
    <row r="5" spans="1:18" x14ac:dyDescent="0.35">
      <c r="A5" s="3" t="s">
        <v>27</v>
      </c>
      <c r="B5" s="5">
        <v>0</v>
      </c>
      <c r="C5" s="5">
        <f>'Kapacitás számítás'!B13+40000000</f>
        <v>45000000</v>
      </c>
      <c r="D5" s="5">
        <f>'Kapacitás számítás'!C13</f>
        <v>170000000</v>
      </c>
      <c r="E5" s="5">
        <f>'Kapacitás számítás'!D13</f>
        <v>45000000</v>
      </c>
      <c r="F5" s="5">
        <f>'Kapacitás számítás'!E13</f>
        <v>180000000</v>
      </c>
      <c r="G5" s="5">
        <f>'Kapacitás számítás'!F13</f>
        <v>0</v>
      </c>
      <c r="H5" s="5">
        <f>'Kapacitás számítás'!G13</f>
        <v>5500000</v>
      </c>
      <c r="I5" s="5">
        <f>'Kapacitás számítás'!H13</f>
        <v>190000000</v>
      </c>
      <c r="J5" s="5">
        <f>'Kapacitás számítás'!I13</f>
        <v>5500000</v>
      </c>
      <c r="K5" s="5">
        <f>'Kapacitás számítás'!J13</f>
        <v>190000000</v>
      </c>
      <c r="L5" s="5">
        <f>'Kapacitás számítás'!K13</f>
        <v>0</v>
      </c>
      <c r="M5" s="5">
        <f>'Kapacitás számítás'!L13</f>
        <v>5750000</v>
      </c>
      <c r="N5" s="5">
        <f>'Kapacitás számítás'!M13</f>
        <v>180000000</v>
      </c>
      <c r="O5" s="5">
        <f>'Kapacitás számítás'!N13</f>
        <v>6000000</v>
      </c>
      <c r="P5" s="5">
        <f>'Kapacitás számítás'!O13</f>
        <v>200000000</v>
      </c>
      <c r="Q5" s="5">
        <f>'Kapacitás számítás'!P13</f>
        <v>0</v>
      </c>
      <c r="R5" s="5">
        <f t="shared" si="0"/>
        <v>1222750000</v>
      </c>
    </row>
    <row r="6" spans="1:18" ht="15" thickBot="1" x14ac:dyDescent="0.4">
      <c r="A6" s="26" t="s">
        <v>59</v>
      </c>
      <c r="B6" s="29">
        <f>B4+B5</f>
        <v>0</v>
      </c>
      <c r="C6" s="29">
        <f t="shared" ref="C6:Q6" si="1">SUM(C3:C5)</f>
        <v>502766000</v>
      </c>
      <c r="D6" s="29">
        <f t="shared" si="1"/>
        <v>628921320</v>
      </c>
      <c r="E6" s="29">
        <f t="shared" si="1"/>
        <v>505099746.39999998</v>
      </c>
      <c r="F6" s="29">
        <f t="shared" si="1"/>
        <v>241301741.32800001</v>
      </c>
      <c r="G6" s="29">
        <f t="shared" si="1"/>
        <v>62527776.15456</v>
      </c>
      <c r="H6" s="29">
        <f t="shared" si="1"/>
        <v>69278331.677651197</v>
      </c>
      <c r="I6" s="29">
        <f t="shared" si="1"/>
        <v>255053898.31120422</v>
      </c>
      <c r="J6" s="29">
        <f t="shared" si="1"/>
        <v>71854976.277428329</v>
      </c>
      <c r="K6" s="29">
        <f t="shared" si="1"/>
        <v>257682075.80297691</v>
      </c>
      <c r="L6" s="29">
        <f t="shared" si="1"/>
        <v>69035717.319036424</v>
      </c>
      <c r="M6" s="29">
        <f t="shared" si="1"/>
        <v>76166431.66541715</v>
      </c>
      <c r="N6" s="29">
        <f t="shared" si="1"/>
        <v>251824760.29872549</v>
      </c>
      <c r="O6" s="29">
        <f t="shared" si="1"/>
        <v>79261255.504700005</v>
      </c>
      <c r="P6" s="29">
        <f t="shared" si="1"/>
        <v>274726480.61479402</v>
      </c>
      <c r="Q6" s="29">
        <f t="shared" si="1"/>
        <v>76221010.227089882</v>
      </c>
      <c r="R6" s="29">
        <f t="shared" si="0"/>
        <v>3421721521.581584</v>
      </c>
    </row>
    <row r="7" spans="1:18" ht="15" thickTop="1" x14ac:dyDescent="0.35">
      <c r="A7" s="27" t="s">
        <v>30</v>
      </c>
      <c r="B7" s="30">
        <v>0</v>
      </c>
      <c r="C7" s="30">
        <f>Árbevétel!C15</f>
        <v>242000000</v>
      </c>
      <c r="D7" s="30">
        <f>Árbevétel!D15</f>
        <v>242000000</v>
      </c>
      <c r="E7" s="30">
        <f>Árbevétel!E15</f>
        <v>294000000</v>
      </c>
      <c r="F7" s="30">
        <f>Árbevétel!F15</f>
        <v>318500000</v>
      </c>
      <c r="G7" s="30">
        <f>Árbevétel!G15</f>
        <v>318500000</v>
      </c>
      <c r="H7" s="30">
        <f>Árbevétel!H15</f>
        <v>343000000</v>
      </c>
      <c r="I7" s="30">
        <f>Árbevétel!I15</f>
        <v>343000000</v>
      </c>
      <c r="J7" s="30">
        <f>Árbevétel!J15</f>
        <v>367500000</v>
      </c>
      <c r="K7" s="30">
        <f>Árbevétel!K15</f>
        <v>367500000</v>
      </c>
      <c r="L7" s="30">
        <f>Árbevétel!L15</f>
        <v>352000000</v>
      </c>
      <c r="M7" s="30">
        <f>Árbevétel!M15</f>
        <v>352000000</v>
      </c>
      <c r="N7" s="30">
        <f>Árbevétel!N15</f>
        <v>374000000</v>
      </c>
      <c r="O7" s="30">
        <f>Árbevétel!O15</f>
        <v>416500000</v>
      </c>
      <c r="P7" s="30">
        <f>Árbevétel!P15</f>
        <v>396000000</v>
      </c>
      <c r="Q7" s="30">
        <f>Árbevétel!Q15</f>
        <v>396000000</v>
      </c>
      <c r="R7" s="30">
        <f t="shared" si="0"/>
        <v>5122500000</v>
      </c>
    </row>
    <row r="8" spans="1:18" x14ac:dyDescent="0.35">
      <c r="A8" s="28" t="s">
        <v>31</v>
      </c>
      <c r="B8" s="31">
        <f>B7-B6</f>
        <v>0</v>
      </c>
      <c r="C8" s="31">
        <f t="shared" ref="C8:Q8" si="2">C7-C4-C5</f>
        <v>139234000</v>
      </c>
      <c r="D8" s="31">
        <f t="shared" si="2"/>
        <v>13078680</v>
      </c>
      <c r="E8" s="31">
        <f t="shared" si="2"/>
        <v>188900253.59999999</v>
      </c>
      <c r="F8" s="31">
        <f t="shared" si="2"/>
        <v>77198258.671999991</v>
      </c>
      <c r="G8" s="31">
        <f t="shared" si="2"/>
        <v>255972223.84544</v>
      </c>
      <c r="H8" s="31">
        <f t="shared" si="2"/>
        <v>273721668.32234877</v>
      </c>
      <c r="I8" s="31">
        <f t="shared" si="2"/>
        <v>87946101.688795745</v>
      </c>
      <c r="J8" s="31">
        <f t="shared" si="2"/>
        <v>295645023.72257167</v>
      </c>
      <c r="K8" s="31">
        <f t="shared" si="2"/>
        <v>109817924.19702309</v>
      </c>
      <c r="L8" s="31">
        <f t="shared" si="2"/>
        <v>282964282.68096358</v>
      </c>
      <c r="M8" s="31">
        <f t="shared" si="2"/>
        <v>275833568.33458287</v>
      </c>
      <c r="N8" s="31">
        <f t="shared" si="2"/>
        <v>122175239.70127451</v>
      </c>
      <c r="O8" s="31">
        <f t="shared" si="2"/>
        <v>337238744.49529999</v>
      </c>
      <c r="P8" s="31">
        <f t="shared" si="2"/>
        <v>121273519.38520598</v>
      </c>
      <c r="Q8" s="31">
        <f t="shared" si="2"/>
        <v>319778989.77291012</v>
      </c>
      <c r="R8" s="31">
        <f t="shared" si="0"/>
        <v>2900778478.418416</v>
      </c>
    </row>
    <row r="9" spans="1:18" x14ac:dyDescent="0.35">
      <c r="B9" s="1"/>
      <c r="C9" s="1"/>
      <c r="D9" s="1"/>
      <c r="E9" s="1"/>
      <c r="F9" s="1"/>
      <c r="G9" s="1"/>
      <c r="H9" s="1"/>
      <c r="I9" s="1"/>
    </row>
    <row r="10" spans="1:18" x14ac:dyDescent="0.3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O10" s="1"/>
      <c r="P10" s="1"/>
      <c r="Q10" s="1"/>
    </row>
    <row r="11" spans="1:18" x14ac:dyDescent="0.35">
      <c r="A11" t="s">
        <v>42</v>
      </c>
      <c r="B11" s="1">
        <f>R3</f>
        <v>1700000000</v>
      </c>
      <c r="M11" s="1"/>
      <c r="N11" s="1"/>
    </row>
    <row r="12" spans="1:18" x14ac:dyDescent="0.35">
      <c r="A12" t="s">
        <v>61</v>
      </c>
      <c r="B12" s="1">
        <f>C8+D8+E8+F8+G8+H8</f>
        <v>948105084.43978882</v>
      </c>
      <c r="C12" s="1"/>
    </row>
    <row r="13" spans="1:18" x14ac:dyDescent="0.35">
      <c r="A13" t="s">
        <v>62</v>
      </c>
      <c r="B13" s="1">
        <f>SUM(C8:J8)</f>
        <v>1331696209.8511562</v>
      </c>
      <c r="C13" s="1"/>
    </row>
    <row r="14" spans="1:18" x14ac:dyDescent="0.35">
      <c r="A14" t="s">
        <v>68</v>
      </c>
      <c r="B14" s="1">
        <f>SUM(C8:K8)</f>
        <v>1441514134.0481794</v>
      </c>
      <c r="C14" s="1"/>
    </row>
    <row r="15" spans="1:18" x14ac:dyDescent="0.35">
      <c r="A15" t="s">
        <v>63</v>
      </c>
      <c r="B15" s="1">
        <f>SUM(C8:M8)</f>
        <v>2000311985.0637257</v>
      </c>
      <c r="C15" s="1"/>
    </row>
    <row r="16" spans="1:18" x14ac:dyDescent="0.35">
      <c r="A16" t="s">
        <v>64</v>
      </c>
      <c r="B16" s="1">
        <f>SUM(C8:O8)</f>
        <v>2459725969.2603002</v>
      </c>
      <c r="C16" s="1"/>
    </row>
    <row r="17" spans="1:5" x14ac:dyDescent="0.35">
      <c r="A17" t="s">
        <v>77</v>
      </c>
      <c r="B17" s="1">
        <f>SUM(C8:Q8)</f>
        <v>2900778478.418416</v>
      </c>
      <c r="C17" s="1"/>
    </row>
    <row r="19" spans="1:5" x14ac:dyDescent="0.35">
      <c r="A19" s="15" t="s">
        <v>72</v>
      </c>
      <c r="B19" s="47">
        <f>15/(R8/B11)</f>
        <v>8.7907436537185362</v>
      </c>
      <c r="C19" s="15" t="s">
        <v>73</v>
      </c>
    </row>
    <row r="21" spans="1:5" x14ac:dyDescent="0.35">
      <c r="E21" s="1"/>
    </row>
    <row r="22" spans="1:5" x14ac:dyDescent="0.35">
      <c r="E22" s="1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R25"/>
  <sheetViews>
    <sheetView workbookViewId="0">
      <selection activeCell="P7" sqref="P7"/>
    </sheetView>
  </sheetViews>
  <sheetFormatPr defaultRowHeight="14.5" x14ac:dyDescent="0.35"/>
  <cols>
    <col min="1" max="1" width="29.26953125" bestFit="1" customWidth="1"/>
    <col min="2" max="2" width="45" customWidth="1"/>
    <col min="3" max="15" width="12.26953125" bestFit="1" customWidth="1"/>
    <col min="16" max="17" width="12.26953125" customWidth="1"/>
    <col min="18" max="18" width="12.7265625" bestFit="1" customWidth="1"/>
  </cols>
  <sheetData>
    <row r="3" spans="1:18" ht="15" thickBot="1" x14ac:dyDescent="0.4">
      <c r="C3" s="20">
        <v>2020</v>
      </c>
      <c r="D3" s="20">
        <v>2021</v>
      </c>
      <c r="E3" s="20">
        <v>2022</v>
      </c>
      <c r="F3" s="20">
        <v>2023</v>
      </c>
      <c r="G3" s="20">
        <v>2024</v>
      </c>
      <c r="H3" s="20">
        <v>2025</v>
      </c>
      <c r="I3" s="20">
        <v>2026</v>
      </c>
      <c r="J3" s="20">
        <v>2027</v>
      </c>
      <c r="K3" s="20">
        <v>2028</v>
      </c>
      <c r="L3" s="20">
        <v>2029</v>
      </c>
      <c r="M3" s="20">
        <v>2030</v>
      </c>
      <c r="N3" s="20">
        <v>2031</v>
      </c>
      <c r="O3" s="20">
        <v>2032</v>
      </c>
      <c r="P3" s="20">
        <v>2033</v>
      </c>
      <c r="Q3" s="20">
        <v>2034</v>
      </c>
      <c r="R3" s="20" t="s">
        <v>28</v>
      </c>
    </row>
    <row r="4" spans="1:18" x14ac:dyDescent="0.35">
      <c r="A4" s="70" t="s">
        <v>76</v>
      </c>
      <c r="B4" s="2" t="s">
        <v>32</v>
      </c>
      <c r="C4" s="48">
        <v>22000</v>
      </c>
      <c r="D4" s="48">
        <v>22000</v>
      </c>
      <c r="E4" s="48">
        <v>22000</v>
      </c>
      <c r="F4" s="48">
        <v>22000</v>
      </c>
      <c r="G4" s="48">
        <v>22000</v>
      </c>
      <c r="H4" s="48">
        <v>22000</v>
      </c>
      <c r="I4" s="48">
        <v>22000</v>
      </c>
      <c r="J4" s="48">
        <v>22000</v>
      </c>
      <c r="K4" s="48">
        <v>22000</v>
      </c>
      <c r="L4" s="48">
        <v>22000</v>
      </c>
      <c r="M4" s="48">
        <v>22000</v>
      </c>
      <c r="N4" s="48">
        <v>22000</v>
      </c>
      <c r="O4" s="48">
        <v>22000</v>
      </c>
      <c r="P4" s="48">
        <v>22000</v>
      </c>
      <c r="Q4" s="48">
        <v>22000</v>
      </c>
      <c r="R4" s="1">
        <f>SUM(C4:Q4)</f>
        <v>330000</v>
      </c>
    </row>
    <row r="5" spans="1:18" x14ac:dyDescent="0.35">
      <c r="A5" s="71"/>
      <c r="B5" s="3" t="s">
        <v>33</v>
      </c>
      <c r="C5" s="5">
        <f t="shared" ref="C5:Q5" si="0">C4*1000</f>
        <v>22000000</v>
      </c>
      <c r="D5" s="5">
        <f t="shared" si="0"/>
        <v>22000000</v>
      </c>
      <c r="E5" s="5">
        <f t="shared" si="0"/>
        <v>22000000</v>
      </c>
      <c r="F5" s="5">
        <f>F4*1000</f>
        <v>22000000</v>
      </c>
      <c r="G5" s="5">
        <f t="shared" si="0"/>
        <v>22000000</v>
      </c>
      <c r="H5" s="5">
        <f t="shared" si="0"/>
        <v>22000000</v>
      </c>
      <c r="I5" s="5">
        <f t="shared" si="0"/>
        <v>22000000</v>
      </c>
      <c r="J5" s="5">
        <f t="shared" si="0"/>
        <v>22000000</v>
      </c>
      <c r="K5" s="5">
        <f t="shared" si="0"/>
        <v>22000000</v>
      </c>
      <c r="L5" s="5">
        <f t="shared" si="0"/>
        <v>22000000</v>
      </c>
      <c r="M5" s="5">
        <f t="shared" si="0"/>
        <v>22000000</v>
      </c>
      <c r="N5" s="5">
        <f t="shared" si="0"/>
        <v>22000000</v>
      </c>
      <c r="O5" s="5">
        <f t="shared" si="0"/>
        <v>22000000</v>
      </c>
      <c r="P5" s="5">
        <f t="shared" si="0"/>
        <v>22000000</v>
      </c>
      <c r="Q5" s="65">
        <f t="shared" si="0"/>
        <v>22000000</v>
      </c>
      <c r="R5" s="13" t="s">
        <v>36</v>
      </c>
    </row>
    <row r="6" spans="1:18" ht="15" thickBot="1" x14ac:dyDescent="0.4">
      <c r="A6" s="72"/>
      <c r="B6" s="4" t="s">
        <v>34</v>
      </c>
      <c r="C6" s="7">
        <v>11</v>
      </c>
      <c r="D6" s="7">
        <v>11</v>
      </c>
      <c r="E6" s="7">
        <v>12</v>
      </c>
      <c r="F6" s="7">
        <v>13</v>
      </c>
      <c r="G6" s="7">
        <v>13</v>
      </c>
      <c r="H6" s="7">
        <v>14</v>
      </c>
      <c r="I6" s="7">
        <v>14</v>
      </c>
      <c r="J6" s="7">
        <v>15</v>
      </c>
      <c r="K6" s="7">
        <v>15</v>
      </c>
      <c r="L6" s="7">
        <v>16</v>
      </c>
      <c r="M6" s="7">
        <v>16</v>
      </c>
      <c r="N6" s="7">
        <v>17</v>
      </c>
      <c r="O6" s="7">
        <v>17</v>
      </c>
      <c r="P6" s="7">
        <v>18</v>
      </c>
      <c r="Q6" s="7">
        <v>18</v>
      </c>
      <c r="R6" s="13" t="s">
        <v>36</v>
      </c>
    </row>
    <row r="7" spans="1:18" x14ac:dyDescent="0.35">
      <c r="A7" s="70" t="s">
        <v>79</v>
      </c>
      <c r="B7" s="2" t="s">
        <v>32</v>
      </c>
      <c r="C7" s="9">
        <v>0</v>
      </c>
      <c r="D7" s="9">
        <v>0</v>
      </c>
      <c r="E7" s="9">
        <v>5000</v>
      </c>
      <c r="F7" s="9">
        <v>5000</v>
      </c>
      <c r="G7" s="9">
        <v>5000</v>
      </c>
      <c r="H7" s="9">
        <v>5000</v>
      </c>
      <c r="I7" s="9">
        <v>5000</v>
      </c>
      <c r="J7" s="9">
        <v>5000</v>
      </c>
      <c r="K7" s="9">
        <v>5000</v>
      </c>
      <c r="L7" s="9">
        <v>0</v>
      </c>
      <c r="M7" s="9">
        <v>0</v>
      </c>
      <c r="N7" s="9">
        <v>0</v>
      </c>
      <c r="O7" s="9">
        <v>5000</v>
      </c>
      <c r="P7" s="9">
        <v>0</v>
      </c>
      <c r="Q7" s="66">
        <v>0</v>
      </c>
      <c r="R7" s="1">
        <f>SUM(C7:Q7)</f>
        <v>40000</v>
      </c>
    </row>
    <row r="8" spans="1:18" x14ac:dyDescent="0.35">
      <c r="A8" s="71"/>
      <c r="B8" s="3" t="s">
        <v>33</v>
      </c>
      <c r="C8" s="5">
        <f>C7*1000</f>
        <v>0</v>
      </c>
      <c r="D8" s="5">
        <f t="shared" ref="D8:Q8" si="1">D7*1000</f>
        <v>0</v>
      </c>
      <c r="E8" s="5">
        <f t="shared" si="1"/>
        <v>5000000</v>
      </c>
      <c r="F8" s="5">
        <f t="shared" si="1"/>
        <v>5000000</v>
      </c>
      <c r="G8" s="5">
        <f t="shared" si="1"/>
        <v>5000000</v>
      </c>
      <c r="H8" s="5">
        <f t="shared" si="1"/>
        <v>5000000</v>
      </c>
      <c r="I8" s="5">
        <f t="shared" si="1"/>
        <v>5000000</v>
      </c>
      <c r="J8" s="5">
        <f t="shared" si="1"/>
        <v>5000000</v>
      </c>
      <c r="K8" s="5">
        <f t="shared" si="1"/>
        <v>5000000</v>
      </c>
      <c r="L8" s="5">
        <f t="shared" si="1"/>
        <v>0</v>
      </c>
      <c r="M8" s="5">
        <f t="shared" si="1"/>
        <v>0</v>
      </c>
      <c r="N8" s="5">
        <f t="shared" si="1"/>
        <v>0</v>
      </c>
      <c r="O8" s="5">
        <f t="shared" si="1"/>
        <v>5000000</v>
      </c>
      <c r="P8" s="5">
        <f t="shared" si="1"/>
        <v>0</v>
      </c>
      <c r="Q8" s="65">
        <f t="shared" si="1"/>
        <v>0</v>
      </c>
      <c r="R8" s="13" t="s">
        <v>36</v>
      </c>
    </row>
    <row r="9" spans="1:18" ht="15" thickBot="1" x14ac:dyDescent="0.4">
      <c r="A9" s="72"/>
      <c r="B9" s="4" t="s">
        <v>34</v>
      </c>
      <c r="C9" s="67">
        <f t="shared" ref="C9:E9" si="2">C6/2</f>
        <v>5.5</v>
      </c>
      <c r="D9" s="67">
        <f t="shared" si="2"/>
        <v>5.5</v>
      </c>
      <c r="E9" s="67">
        <f t="shared" si="2"/>
        <v>6</v>
      </c>
      <c r="F9" s="67">
        <f>F6/2</f>
        <v>6.5</v>
      </c>
      <c r="G9" s="67">
        <f t="shared" ref="G9:Q9" si="3">G6/2</f>
        <v>6.5</v>
      </c>
      <c r="H9" s="67">
        <f t="shared" si="3"/>
        <v>7</v>
      </c>
      <c r="I9" s="67">
        <f t="shared" si="3"/>
        <v>7</v>
      </c>
      <c r="J9" s="67">
        <f t="shared" si="3"/>
        <v>7.5</v>
      </c>
      <c r="K9" s="67">
        <f t="shared" si="3"/>
        <v>7.5</v>
      </c>
      <c r="L9" s="67">
        <f t="shared" si="3"/>
        <v>8</v>
      </c>
      <c r="M9" s="67">
        <f t="shared" si="3"/>
        <v>8</v>
      </c>
      <c r="N9" s="67">
        <f t="shared" si="3"/>
        <v>8.5</v>
      </c>
      <c r="O9" s="67">
        <f t="shared" si="3"/>
        <v>8.5</v>
      </c>
      <c r="P9" s="67">
        <f t="shared" si="3"/>
        <v>9</v>
      </c>
      <c r="Q9" s="68">
        <f t="shared" si="3"/>
        <v>9</v>
      </c>
      <c r="R9" s="13" t="s">
        <v>36</v>
      </c>
    </row>
    <row r="10" spans="1:18" hidden="1" x14ac:dyDescent="0.35">
      <c r="A10" s="73" t="s">
        <v>35</v>
      </c>
      <c r="B10" s="2" t="s">
        <v>32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10">
        <v>0</v>
      </c>
      <c r="P10" s="63"/>
      <c r="Q10" s="63"/>
      <c r="R10" s="1">
        <f t="shared" ref="R10" si="4">SUM(C10:O10)</f>
        <v>0</v>
      </c>
    </row>
    <row r="11" spans="1:18" hidden="1" x14ac:dyDescent="0.35">
      <c r="A11" s="74"/>
      <c r="B11" s="3" t="s">
        <v>33</v>
      </c>
      <c r="C11" s="5">
        <f t="shared" ref="C11:O11" si="5">C10*1000</f>
        <v>0</v>
      </c>
      <c r="D11" s="5">
        <f t="shared" si="5"/>
        <v>0</v>
      </c>
      <c r="E11" s="5">
        <f t="shared" si="5"/>
        <v>0</v>
      </c>
      <c r="F11" s="5">
        <f t="shared" si="5"/>
        <v>0</v>
      </c>
      <c r="G11" s="5">
        <f t="shared" si="5"/>
        <v>0</v>
      </c>
      <c r="H11" s="5">
        <f t="shared" si="5"/>
        <v>0</v>
      </c>
      <c r="I11" s="5">
        <f t="shared" si="5"/>
        <v>0</v>
      </c>
      <c r="J11" s="5">
        <f t="shared" si="5"/>
        <v>0</v>
      </c>
      <c r="K11" s="5">
        <f t="shared" si="5"/>
        <v>0</v>
      </c>
      <c r="L11" s="5">
        <f t="shared" si="5"/>
        <v>0</v>
      </c>
      <c r="M11" s="5">
        <f t="shared" si="5"/>
        <v>0</v>
      </c>
      <c r="N11" s="5">
        <f t="shared" si="5"/>
        <v>0</v>
      </c>
      <c r="O11" s="6">
        <f t="shared" si="5"/>
        <v>0</v>
      </c>
      <c r="P11" s="1"/>
      <c r="Q11" s="1"/>
      <c r="R11" s="13" t="s">
        <v>36</v>
      </c>
    </row>
    <row r="12" spans="1:18" ht="15" hidden="1" thickBot="1" x14ac:dyDescent="0.4">
      <c r="A12" s="75"/>
      <c r="B12" s="4" t="s">
        <v>34</v>
      </c>
      <c r="C12" s="7">
        <v>7.5</v>
      </c>
      <c r="D12" s="7">
        <v>7.5</v>
      </c>
      <c r="E12" s="7">
        <v>7.5</v>
      </c>
      <c r="F12" s="7">
        <v>7.5</v>
      </c>
      <c r="G12" s="7">
        <v>7.5</v>
      </c>
      <c r="H12" s="7">
        <v>7.5</v>
      </c>
      <c r="I12" s="7">
        <v>7.5</v>
      </c>
      <c r="J12" s="7">
        <v>7.5</v>
      </c>
      <c r="K12" s="7">
        <v>7.5</v>
      </c>
      <c r="L12" s="7">
        <v>7.5</v>
      </c>
      <c r="M12" s="7">
        <v>7.5</v>
      </c>
      <c r="N12" s="7">
        <v>7.5</v>
      </c>
      <c r="O12" s="8">
        <v>7.5</v>
      </c>
      <c r="P12" s="12"/>
      <c r="Q12" s="12"/>
      <c r="R12" s="13" t="s">
        <v>36</v>
      </c>
    </row>
    <row r="13" spans="1:18" ht="15" thickBot="1" x14ac:dyDescent="0.4">
      <c r="A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"/>
    </row>
    <row r="14" spans="1:18" x14ac:dyDescent="0.35">
      <c r="A14" s="76"/>
      <c r="B14" s="18" t="s">
        <v>53</v>
      </c>
      <c r="C14" s="21">
        <f t="shared" ref="C14:O14" si="6">C4+C7+C10</f>
        <v>22000</v>
      </c>
      <c r="D14" s="21">
        <f t="shared" si="6"/>
        <v>22000</v>
      </c>
      <c r="E14" s="21">
        <f t="shared" si="6"/>
        <v>27000</v>
      </c>
      <c r="F14" s="21">
        <f t="shared" si="6"/>
        <v>27000</v>
      </c>
      <c r="G14" s="21">
        <f t="shared" si="6"/>
        <v>27000</v>
      </c>
      <c r="H14" s="21">
        <f t="shared" si="6"/>
        <v>27000</v>
      </c>
      <c r="I14" s="21">
        <f t="shared" si="6"/>
        <v>27000</v>
      </c>
      <c r="J14" s="21">
        <f t="shared" si="6"/>
        <v>27000</v>
      </c>
      <c r="K14" s="21">
        <f t="shared" si="6"/>
        <v>27000</v>
      </c>
      <c r="L14" s="21">
        <f t="shared" si="6"/>
        <v>22000</v>
      </c>
      <c r="M14" s="21">
        <f t="shared" si="6"/>
        <v>22000</v>
      </c>
      <c r="N14" s="21">
        <f t="shared" si="6"/>
        <v>22000</v>
      </c>
      <c r="O14" s="21">
        <f t="shared" si="6"/>
        <v>27000</v>
      </c>
      <c r="P14" s="21">
        <f t="shared" ref="P14:Q14" si="7">P4+P7+P10</f>
        <v>22000</v>
      </c>
      <c r="Q14" s="21">
        <f t="shared" si="7"/>
        <v>22000</v>
      </c>
      <c r="R14" s="22">
        <f>SUM(C14:Q14)</f>
        <v>370000</v>
      </c>
    </row>
    <row r="15" spans="1:18" ht="15" thickBot="1" x14ac:dyDescent="0.4">
      <c r="A15" s="76"/>
      <c r="B15" s="19" t="s">
        <v>54</v>
      </c>
      <c r="C15" s="23">
        <f>C5*C6+C8*C9+C11*C12</f>
        <v>242000000</v>
      </c>
      <c r="D15" s="23">
        <f t="shared" ref="D15:Q15" si="8">D5*D6+D8*D9+D11*D12</f>
        <v>242000000</v>
      </c>
      <c r="E15" s="23">
        <f t="shared" si="8"/>
        <v>294000000</v>
      </c>
      <c r="F15" s="23">
        <f>F5*F6+F8*F9+F11*F12</f>
        <v>318500000</v>
      </c>
      <c r="G15" s="23">
        <f t="shared" si="8"/>
        <v>318500000</v>
      </c>
      <c r="H15" s="23">
        <f t="shared" si="8"/>
        <v>343000000</v>
      </c>
      <c r="I15" s="23">
        <f t="shared" si="8"/>
        <v>343000000</v>
      </c>
      <c r="J15" s="23">
        <f t="shared" si="8"/>
        <v>367500000</v>
      </c>
      <c r="K15" s="23">
        <f t="shared" si="8"/>
        <v>367500000</v>
      </c>
      <c r="L15" s="23">
        <f t="shared" si="8"/>
        <v>352000000</v>
      </c>
      <c r="M15" s="23">
        <f t="shared" si="8"/>
        <v>352000000</v>
      </c>
      <c r="N15" s="23">
        <f t="shared" si="8"/>
        <v>374000000</v>
      </c>
      <c r="O15" s="23">
        <f t="shared" si="8"/>
        <v>416500000</v>
      </c>
      <c r="P15" s="23">
        <f t="shared" si="8"/>
        <v>396000000</v>
      </c>
      <c r="Q15" s="23">
        <f t="shared" si="8"/>
        <v>396000000</v>
      </c>
      <c r="R15" s="24">
        <f>SUM(C15:Q15)</f>
        <v>5122500000</v>
      </c>
    </row>
    <row r="16" spans="1:18" x14ac:dyDescent="0.35">
      <c r="A16" s="11"/>
      <c r="C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"/>
    </row>
    <row r="17" spans="1:18" x14ac:dyDescent="0.35">
      <c r="A17" t="s">
        <v>80</v>
      </c>
    </row>
    <row r="18" spans="1:18" x14ac:dyDescent="0.35">
      <c r="F18" s="1"/>
    </row>
    <row r="20" spans="1:18" hidden="1" x14ac:dyDescent="0.35">
      <c r="A20" t="s">
        <v>51</v>
      </c>
      <c r="C20">
        <v>2018</v>
      </c>
      <c r="D20">
        <v>2019</v>
      </c>
      <c r="E20">
        <v>2020</v>
      </c>
      <c r="F20">
        <v>2021</v>
      </c>
      <c r="G20">
        <v>2022</v>
      </c>
      <c r="H20">
        <v>2023</v>
      </c>
      <c r="I20">
        <v>2024</v>
      </c>
      <c r="J20">
        <v>2025</v>
      </c>
      <c r="K20">
        <v>2026</v>
      </c>
      <c r="L20">
        <v>2027</v>
      </c>
      <c r="M20">
        <v>2028</v>
      </c>
      <c r="N20">
        <v>2029</v>
      </c>
      <c r="O20">
        <v>2030</v>
      </c>
      <c r="R20" t="s">
        <v>28</v>
      </c>
    </row>
    <row r="21" spans="1:18" hidden="1" x14ac:dyDescent="0.35">
      <c r="B21" s="14" t="s">
        <v>38</v>
      </c>
      <c r="C21" s="1">
        <f t="shared" ref="C21:K21" si="9">C5*2+C8*5</f>
        <v>44000000</v>
      </c>
      <c r="D21" s="1">
        <f t="shared" si="9"/>
        <v>44000000</v>
      </c>
      <c r="E21" s="1">
        <f t="shared" si="9"/>
        <v>69000000</v>
      </c>
      <c r="F21" s="1">
        <f t="shared" si="9"/>
        <v>69000000</v>
      </c>
      <c r="G21" s="1">
        <f t="shared" si="9"/>
        <v>69000000</v>
      </c>
      <c r="H21" s="1">
        <f t="shared" si="9"/>
        <v>69000000</v>
      </c>
      <c r="I21" s="1">
        <f t="shared" si="9"/>
        <v>69000000</v>
      </c>
      <c r="J21" s="1">
        <f t="shared" si="9"/>
        <v>69000000</v>
      </c>
      <c r="K21" s="1">
        <f t="shared" si="9"/>
        <v>69000000</v>
      </c>
      <c r="L21" s="1">
        <v>0</v>
      </c>
      <c r="M21" s="1">
        <v>0</v>
      </c>
      <c r="N21" s="1">
        <v>0</v>
      </c>
      <c r="O21" s="1">
        <v>0</v>
      </c>
      <c r="P21" s="1"/>
      <c r="Q21" s="1"/>
      <c r="R21" s="1">
        <f>SUM(C21:O21)</f>
        <v>571000000</v>
      </c>
    </row>
    <row r="22" spans="1:18" hidden="1" x14ac:dyDescent="0.35">
      <c r="R22" s="1"/>
    </row>
    <row r="23" spans="1:18" hidden="1" x14ac:dyDescent="0.35">
      <c r="A23" t="s">
        <v>39</v>
      </c>
      <c r="C23" s="1">
        <f t="shared" ref="C23:H23" si="10">(700000000/6-27500000*2-C8*5)/5000+27500+C7</f>
        <v>39833.333333333336</v>
      </c>
      <c r="D23" s="1">
        <f t="shared" si="10"/>
        <v>39833.333333333336</v>
      </c>
      <c r="E23" s="1">
        <f t="shared" si="10"/>
        <v>39833.333333333336</v>
      </c>
      <c r="F23" s="1">
        <f t="shared" si="10"/>
        <v>39833.333333333336</v>
      </c>
      <c r="G23" s="1">
        <f t="shared" si="10"/>
        <v>39833.333333333336</v>
      </c>
      <c r="H23" s="1">
        <f t="shared" si="10"/>
        <v>39833.333333333336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/>
      <c r="Q23" s="1"/>
      <c r="R23" s="1">
        <f>SUM(C23:O23)</f>
        <v>239000.00000000003</v>
      </c>
    </row>
    <row r="24" spans="1:18" hidden="1" x14ac:dyDescent="0.35">
      <c r="A24" t="s">
        <v>40</v>
      </c>
      <c r="C24" s="1">
        <f t="shared" ref="C24:H24" si="11">27500*2000+C7*5000+(C23-(27500+C7))*5000</f>
        <v>116666666.66666669</v>
      </c>
      <c r="D24" s="1">
        <f t="shared" si="11"/>
        <v>116666666.66666669</v>
      </c>
      <c r="E24" s="1">
        <f t="shared" si="11"/>
        <v>116666666.66666669</v>
      </c>
      <c r="F24" s="1">
        <f t="shared" si="11"/>
        <v>116666666.66666669</v>
      </c>
      <c r="G24" s="1">
        <f t="shared" si="11"/>
        <v>116666666.66666669</v>
      </c>
      <c r="H24" s="1">
        <f t="shared" si="11"/>
        <v>116666666.66666669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/>
      <c r="Q24" s="1"/>
      <c r="R24" s="1">
        <f>SUM(C24:O24)</f>
        <v>700000000.00000024</v>
      </c>
    </row>
    <row r="25" spans="1:18" ht="58" hidden="1" x14ac:dyDescent="0.35">
      <c r="A25" s="16" t="s">
        <v>52</v>
      </c>
      <c r="B25" s="15"/>
      <c r="C25" s="17">
        <f>C23-27500</f>
        <v>12333.333333333336</v>
      </c>
      <c r="D25" s="17">
        <f t="shared" ref="D25:H25" si="12">D23-27500</f>
        <v>12333.333333333336</v>
      </c>
      <c r="E25" s="17">
        <f t="shared" si="12"/>
        <v>12333.333333333336</v>
      </c>
      <c r="F25" s="17">
        <f t="shared" si="12"/>
        <v>12333.333333333336</v>
      </c>
      <c r="G25" s="17">
        <f t="shared" si="12"/>
        <v>12333.333333333336</v>
      </c>
      <c r="H25" s="17">
        <f t="shared" si="12"/>
        <v>12333.333333333336</v>
      </c>
    </row>
  </sheetData>
  <sheetProtection selectLockedCells="1" selectUnlockedCells="1"/>
  <mergeCells count="4">
    <mergeCell ref="A4:A6"/>
    <mergeCell ref="A7:A9"/>
    <mergeCell ref="A10:A12"/>
    <mergeCell ref="A14:A15"/>
  </mergeCells>
  <dataValidations count="2">
    <dataValidation type="whole" allowBlank="1" showInputMessage="1" showErrorMessage="1" sqref="C7:Q7" xr:uid="{00000000-0002-0000-0100-000000000000}">
      <formula1>0</formula1>
      <formula2>12500</formula2>
    </dataValidation>
    <dataValidation type="whole" allowBlank="1" showInputMessage="1" showErrorMessage="1" sqref="C10:Q10" xr:uid="{00000000-0002-0000-0100-000001000000}">
      <formula1>0</formula1>
      <formula2>30000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Q14"/>
  <sheetViews>
    <sheetView workbookViewId="0">
      <selection activeCell="D13" sqref="D13"/>
    </sheetView>
  </sheetViews>
  <sheetFormatPr defaultRowHeight="14.5" x14ac:dyDescent="0.35"/>
  <cols>
    <col min="1" max="1" width="40.453125" bestFit="1" customWidth="1"/>
    <col min="2" max="2" width="25.81640625" customWidth="1"/>
    <col min="3" max="3" width="11.26953125" bestFit="1" customWidth="1"/>
    <col min="4" max="4" width="10.81640625" bestFit="1" customWidth="1"/>
    <col min="5" max="6" width="11.26953125" bestFit="1" customWidth="1"/>
    <col min="7" max="7" width="10.81640625" bestFit="1" customWidth="1"/>
    <col min="8" max="8" width="11.26953125" bestFit="1" customWidth="1"/>
    <col min="9" max="9" width="11.54296875" bestFit="1" customWidth="1"/>
    <col min="10" max="10" width="10.81640625" bestFit="1" customWidth="1"/>
    <col min="11" max="11" width="11.26953125" bestFit="1" customWidth="1"/>
    <col min="12" max="13" width="10.81640625" bestFit="1" customWidth="1"/>
    <col min="14" max="14" width="11.26953125" bestFit="1" customWidth="1"/>
    <col min="15" max="16" width="11.26953125" customWidth="1"/>
    <col min="17" max="17" width="12.26953125" bestFit="1" customWidth="1"/>
  </cols>
  <sheetData>
    <row r="3" spans="1:17" x14ac:dyDescent="0.35">
      <c r="B3" s="3" t="s">
        <v>37</v>
      </c>
      <c r="C3" s="5">
        <v>55000</v>
      </c>
      <c r="D3" s="3" t="s">
        <v>23</v>
      </c>
      <c r="E3" s="5">
        <f>40000</f>
        <v>40000</v>
      </c>
      <c r="F3" s="3" t="s">
        <v>24</v>
      </c>
    </row>
    <row r="4" spans="1:17" x14ac:dyDescent="0.35">
      <c r="B4" s="3" t="s">
        <v>26</v>
      </c>
      <c r="C4" s="5">
        <v>1500000</v>
      </c>
      <c r="D4" s="3" t="s">
        <v>23</v>
      </c>
      <c r="E4" s="5">
        <f>C4/1.5</f>
        <v>1000000</v>
      </c>
      <c r="F4" s="3" t="s">
        <v>24</v>
      </c>
    </row>
    <row r="7" spans="1:17" x14ac:dyDescent="0.35">
      <c r="A7" s="3"/>
      <c r="B7" s="25">
        <v>2020</v>
      </c>
      <c r="C7" s="25">
        <v>2021</v>
      </c>
      <c r="D7" s="25">
        <v>2022</v>
      </c>
      <c r="E7" s="25">
        <v>2023</v>
      </c>
      <c r="F7" s="25">
        <v>2024</v>
      </c>
      <c r="G7" s="25">
        <v>2025</v>
      </c>
      <c r="H7" s="25">
        <v>2026</v>
      </c>
      <c r="I7" s="25">
        <v>2027</v>
      </c>
      <c r="J7" s="25">
        <v>2028</v>
      </c>
      <c r="K7" s="25">
        <v>2029</v>
      </c>
      <c r="L7" s="25">
        <v>2030</v>
      </c>
      <c r="M7" s="25">
        <v>2031</v>
      </c>
      <c r="N7" s="25">
        <v>2032</v>
      </c>
      <c r="O7" s="25">
        <v>2033</v>
      </c>
      <c r="P7" s="25">
        <v>2034</v>
      </c>
      <c r="Q7" s="64" t="s">
        <v>28</v>
      </c>
    </row>
    <row r="8" spans="1:17" x14ac:dyDescent="0.35">
      <c r="A8" s="3" t="s">
        <v>57</v>
      </c>
      <c r="B8" s="5">
        <v>55000</v>
      </c>
      <c r="C8" s="5">
        <f t="shared" ref="C8:P8" si="0">IF(B11=0,B10,B10+55000)</f>
        <v>33000</v>
      </c>
      <c r="D8" s="5">
        <f t="shared" si="0"/>
        <v>66000</v>
      </c>
      <c r="E8" s="5">
        <f t="shared" si="0"/>
        <v>44000</v>
      </c>
      <c r="F8" s="5">
        <f t="shared" si="0"/>
        <v>77000</v>
      </c>
      <c r="G8" s="5">
        <f t="shared" si="0"/>
        <v>55000</v>
      </c>
      <c r="H8" s="5">
        <f t="shared" si="0"/>
        <v>33000</v>
      </c>
      <c r="I8" s="5">
        <f t="shared" si="0"/>
        <v>66000</v>
      </c>
      <c r="J8" s="5">
        <f t="shared" si="0"/>
        <v>44000</v>
      </c>
      <c r="K8" s="5">
        <f t="shared" si="0"/>
        <v>77000</v>
      </c>
      <c r="L8" s="5">
        <f t="shared" si="0"/>
        <v>55000</v>
      </c>
      <c r="M8" s="5">
        <f t="shared" si="0"/>
        <v>33000</v>
      </c>
      <c r="N8" s="5">
        <f t="shared" si="0"/>
        <v>66000</v>
      </c>
      <c r="O8" s="5">
        <f t="shared" si="0"/>
        <v>44000</v>
      </c>
      <c r="P8" s="5">
        <f t="shared" si="0"/>
        <v>77000</v>
      </c>
      <c r="Q8" s="25" t="s">
        <v>36</v>
      </c>
    </row>
    <row r="9" spans="1:17" x14ac:dyDescent="0.35">
      <c r="A9" s="3" t="s">
        <v>56</v>
      </c>
      <c r="B9" s="5">
        <f>Árbevétel!C14-Árbevétel!C7</f>
        <v>22000</v>
      </c>
      <c r="C9" s="5">
        <f>Árbevétel!D14-Árbevétel!D7</f>
        <v>22000</v>
      </c>
      <c r="D9" s="5">
        <f>Árbevétel!E14-Árbevétel!E7</f>
        <v>22000</v>
      </c>
      <c r="E9" s="5">
        <f>Árbevétel!F14-Árbevétel!F7</f>
        <v>22000</v>
      </c>
      <c r="F9" s="5">
        <f>Árbevétel!G14-Árbevétel!G7</f>
        <v>22000</v>
      </c>
      <c r="G9" s="5">
        <f>Árbevétel!H14-Árbevétel!H7</f>
        <v>22000</v>
      </c>
      <c r="H9" s="5">
        <f>Árbevétel!I14-Árbevétel!I7</f>
        <v>22000</v>
      </c>
      <c r="I9" s="5">
        <f>Árbevétel!J14-Árbevétel!J7</f>
        <v>22000</v>
      </c>
      <c r="J9" s="5">
        <f>Árbevétel!K14-Árbevétel!K7</f>
        <v>22000</v>
      </c>
      <c r="K9" s="5">
        <f>Árbevétel!L14-Árbevétel!L7</f>
        <v>22000</v>
      </c>
      <c r="L9" s="5">
        <f>Árbevétel!M14-Árbevétel!M7</f>
        <v>22000</v>
      </c>
      <c r="M9" s="5">
        <f>Árbevétel!N14-Árbevétel!N7</f>
        <v>22000</v>
      </c>
      <c r="N9" s="5">
        <f>Árbevétel!O14-Árbevétel!O7</f>
        <v>22000</v>
      </c>
      <c r="O9" s="5">
        <f>Árbevétel!P14-Árbevétel!P7</f>
        <v>22000</v>
      </c>
      <c r="P9" s="5">
        <f>Árbevétel!Q14-Árbevétel!Q7</f>
        <v>22000</v>
      </c>
      <c r="Q9" s="5">
        <f>SUM(B9:N9)</f>
        <v>286000</v>
      </c>
    </row>
    <row r="10" spans="1:17" x14ac:dyDescent="0.35">
      <c r="A10" s="3" t="s">
        <v>55</v>
      </c>
      <c r="B10" s="5">
        <f t="shared" ref="B10:P10" si="1">B8-B9</f>
        <v>33000</v>
      </c>
      <c r="C10" s="5">
        <f t="shared" si="1"/>
        <v>11000</v>
      </c>
      <c r="D10" s="5">
        <f t="shared" si="1"/>
        <v>44000</v>
      </c>
      <c r="E10" s="5">
        <f t="shared" si="1"/>
        <v>22000</v>
      </c>
      <c r="F10" s="5">
        <f t="shared" si="1"/>
        <v>55000</v>
      </c>
      <c r="G10" s="5">
        <f t="shared" si="1"/>
        <v>33000</v>
      </c>
      <c r="H10" s="5">
        <f t="shared" si="1"/>
        <v>11000</v>
      </c>
      <c r="I10" s="5">
        <f t="shared" si="1"/>
        <v>44000</v>
      </c>
      <c r="J10" s="5">
        <f t="shared" si="1"/>
        <v>22000</v>
      </c>
      <c r="K10" s="5">
        <f t="shared" si="1"/>
        <v>55000</v>
      </c>
      <c r="L10" s="5">
        <f t="shared" si="1"/>
        <v>33000</v>
      </c>
      <c r="M10" s="5">
        <f t="shared" si="1"/>
        <v>11000</v>
      </c>
      <c r="N10" s="5">
        <f t="shared" si="1"/>
        <v>44000</v>
      </c>
      <c r="O10" s="5">
        <f t="shared" si="1"/>
        <v>22000</v>
      </c>
      <c r="P10" s="5">
        <f t="shared" si="1"/>
        <v>55000</v>
      </c>
      <c r="Q10" s="25" t="s">
        <v>36</v>
      </c>
    </row>
    <row r="11" spans="1:17" x14ac:dyDescent="0.35">
      <c r="A11" s="3" t="s">
        <v>82</v>
      </c>
      <c r="B11" s="5">
        <f>IF(B10&lt;25000,60000,0)</f>
        <v>0</v>
      </c>
      <c r="C11" s="5">
        <f>IF(C10&lt;23000,55000,0)</f>
        <v>55000</v>
      </c>
      <c r="D11" s="5">
        <f t="shared" ref="D11:P11" si="2">IF(D10&lt;23000,55000,0)</f>
        <v>0</v>
      </c>
      <c r="E11" s="5">
        <f t="shared" si="2"/>
        <v>55000</v>
      </c>
      <c r="F11" s="5">
        <f t="shared" si="2"/>
        <v>0</v>
      </c>
      <c r="G11" s="5">
        <f t="shared" si="2"/>
        <v>0</v>
      </c>
      <c r="H11" s="5">
        <f t="shared" si="2"/>
        <v>55000</v>
      </c>
      <c r="I11" s="5">
        <f t="shared" si="2"/>
        <v>0</v>
      </c>
      <c r="J11" s="5">
        <f t="shared" si="2"/>
        <v>55000</v>
      </c>
      <c r="K11" s="5">
        <f t="shared" si="2"/>
        <v>0</v>
      </c>
      <c r="L11" s="5">
        <f t="shared" si="2"/>
        <v>0</v>
      </c>
      <c r="M11" s="5">
        <f t="shared" si="2"/>
        <v>55000</v>
      </c>
      <c r="N11" s="5">
        <f t="shared" si="2"/>
        <v>0</v>
      </c>
      <c r="O11" s="5">
        <f t="shared" si="2"/>
        <v>55000</v>
      </c>
      <c r="P11" s="5">
        <f t="shared" si="2"/>
        <v>0</v>
      </c>
      <c r="Q11" s="5">
        <f>SUM(B11:N11)</f>
        <v>275000</v>
      </c>
    </row>
    <row r="12" spans="1:17" x14ac:dyDescent="0.35">
      <c r="A12" s="3" t="s">
        <v>78</v>
      </c>
      <c r="B12" s="5">
        <v>5000000</v>
      </c>
      <c r="C12" s="5">
        <v>0</v>
      </c>
      <c r="D12" s="5">
        <v>5000000</v>
      </c>
      <c r="E12" s="5">
        <v>0</v>
      </c>
      <c r="F12" s="5">
        <v>0</v>
      </c>
      <c r="G12" s="5">
        <v>5500000</v>
      </c>
      <c r="H12" s="5">
        <v>0</v>
      </c>
      <c r="I12" s="5">
        <v>5500000</v>
      </c>
      <c r="J12" s="5">
        <v>0</v>
      </c>
      <c r="K12" s="5">
        <v>0</v>
      </c>
      <c r="L12" s="5">
        <v>5750000</v>
      </c>
      <c r="M12" s="5">
        <v>0</v>
      </c>
      <c r="N12" s="5">
        <v>6000000</v>
      </c>
      <c r="O12" s="5">
        <v>0</v>
      </c>
      <c r="P12" s="5">
        <v>0</v>
      </c>
      <c r="Q12" s="5">
        <f>SUM(B12:P12)</f>
        <v>32750000</v>
      </c>
    </row>
    <row r="13" spans="1:17" x14ac:dyDescent="0.35">
      <c r="A13" s="28" t="s">
        <v>29</v>
      </c>
      <c r="B13" s="31">
        <f>IF(B11=0,0,180000000)+B12</f>
        <v>5000000</v>
      </c>
      <c r="C13" s="31">
        <f>IF(C11=0,0,170000000)+C12</f>
        <v>170000000</v>
      </c>
      <c r="D13" s="31">
        <f>IF(D11=0,0,180000000)+D12+40000000</f>
        <v>45000000</v>
      </c>
      <c r="E13" s="31">
        <f>IF(E11=0,0,180000000)</f>
        <v>180000000</v>
      </c>
      <c r="F13" s="31">
        <f>IF(F11=0,0,180000000)+F12</f>
        <v>0</v>
      </c>
      <c r="G13" s="31">
        <f>IF(G11=0,0,180000000)+G12</f>
        <v>5500000</v>
      </c>
      <c r="H13" s="31">
        <f>IF(H11=0,0,190000000)+H12</f>
        <v>190000000</v>
      </c>
      <c r="I13" s="31">
        <f>IF(I11=0,0,180000000)+I12</f>
        <v>5500000</v>
      </c>
      <c r="J13" s="31">
        <f>IF(J11=0,0,190000000)+J12</f>
        <v>190000000</v>
      </c>
      <c r="K13" s="31">
        <f>IF(K11=0,0,180000000)+K12</f>
        <v>0</v>
      </c>
      <c r="L13" s="31">
        <f>IF(L11=0,0,200000000)+L12</f>
        <v>5750000</v>
      </c>
      <c r="M13" s="31">
        <f>IF(M11=0,0,180000000)+M12</f>
        <v>180000000</v>
      </c>
      <c r="N13" s="31">
        <f>IF(N11=0,0,200000000)+N12</f>
        <v>6000000</v>
      </c>
      <c r="O13" s="31">
        <f>IF(O11=0,0,200000000)+O12</f>
        <v>200000000</v>
      </c>
      <c r="P13" s="31">
        <f>IF(P11=0,0,200000000)+P12</f>
        <v>0</v>
      </c>
      <c r="Q13" s="31">
        <f>SUM(B13:N13)</f>
        <v>982750000</v>
      </c>
    </row>
    <row r="14" spans="1:17" ht="78" x14ac:dyDescent="0.35">
      <c r="D14" s="69" t="s">
        <v>81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S35"/>
  <sheetViews>
    <sheetView workbookViewId="0">
      <selection activeCell="B20" sqref="B20"/>
    </sheetView>
  </sheetViews>
  <sheetFormatPr defaultColWidth="9.1796875" defaultRowHeight="14.5" x14ac:dyDescent="0.35"/>
  <cols>
    <col min="1" max="1" width="9.1796875" style="32"/>
    <col min="2" max="2" width="32.54296875" style="32" bestFit="1" customWidth="1"/>
    <col min="3" max="3" width="47.7265625" style="32" customWidth="1"/>
    <col min="4" max="4" width="10.7265625" style="32" bestFit="1" customWidth="1"/>
    <col min="5" max="5" width="19.81640625" style="32" bestFit="1" customWidth="1"/>
    <col min="6" max="6" width="13.81640625" style="32" customWidth="1"/>
    <col min="7" max="7" width="13.7265625" style="32" customWidth="1"/>
    <col min="8" max="8" width="19.81640625" style="32" bestFit="1" customWidth="1"/>
    <col min="9" max="9" width="10.81640625" style="32" bestFit="1" customWidth="1"/>
    <col min="10" max="10" width="12.1796875" style="32" customWidth="1"/>
    <col min="11" max="17" width="10.81640625" style="32" bestFit="1" customWidth="1"/>
    <col min="18" max="19" width="9.81640625" style="32" bestFit="1" customWidth="1"/>
    <col min="20" max="16384" width="9.1796875" style="32"/>
  </cols>
  <sheetData>
    <row r="1" spans="2:19" x14ac:dyDescent="0.35">
      <c r="C1" s="33"/>
      <c r="E1" s="33">
        <v>2020</v>
      </c>
      <c r="F1" s="33">
        <v>2021</v>
      </c>
      <c r="G1" s="33">
        <v>2022</v>
      </c>
      <c r="H1" s="33">
        <v>2023</v>
      </c>
      <c r="I1" s="33">
        <v>2024</v>
      </c>
      <c r="J1" s="33">
        <v>2025</v>
      </c>
      <c r="K1" s="33">
        <v>2026</v>
      </c>
      <c r="L1" s="33">
        <v>2027</v>
      </c>
      <c r="M1" s="33">
        <v>2028</v>
      </c>
      <c r="N1" s="33">
        <v>2029</v>
      </c>
      <c r="O1" s="33">
        <v>2030</v>
      </c>
      <c r="P1" s="33">
        <v>2031</v>
      </c>
      <c r="Q1" s="33">
        <v>2032</v>
      </c>
      <c r="R1" s="33">
        <v>2033</v>
      </c>
      <c r="S1" s="33">
        <v>2034</v>
      </c>
    </row>
    <row r="2" spans="2:19" x14ac:dyDescent="0.35">
      <c r="B2" s="33" t="s">
        <v>69</v>
      </c>
      <c r="C2" s="33" t="s">
        <v>48</v>
      </c>
      <c r="D2" s="35"/>
      <c r="E2" s="36">
        <f>H18+E24+E30+E35</f>
        <v>57766000</v>
      </c>
      <c r="F2" s="36">
        <f>E2*1.02</f>
        <v>58921320</v>
      </c>
      <c r="G2" s="36">
        <f t="shared" ref="G2:Q2" si="0">F2*1.02</f>
        <v>60099746.399999999</v>
      </c>
      <c r="H2" s="36">
        <f t="shared" si="0"/>
        <v>61301741.328000002</v>
      </c>
      <c r="I2" s="36">
        <f t="shared" si="0"/>
        <v>62527776.15456</v>
      </c>
      <c r="J2" s="36">
        <f t="shared" si="0"/>
        <v>63778331.677651204</v>
      </c>
      <c r="K2" s="36">
        <f t="shared" si="0"/>
        <v>65053898.311204232</v>
      </c>
      <c r="L2" s="36">
        <f t="shared" si="0"/>
        <v>66354976.277428322</v>
      </c>
      <c r="M2" s="36">
        <f t="shared" si="0"/>
        <v>67682075.802976891</v>
      </c>
      <c r="N2" s="36">
        <f t="shared" si="0"/>
        <v>69035717.319036424</v>
      </c>
      <c r="O2" s="36">
        <f t="shared" si="0"/>
        <v>70416431.66541715</v>
      </c>
      <c r="P2" s="36">
        <f t="shared" si="0"/>
        <v>71824760.298725501</v>
      </c>
      <c r="Q2" s="36">
        <f t="shared" si="0"/>
        <v>73261255.504700005</v>
      </c>
      <c r="R2" s="36">
        <f t="shared" ref="R2" si="1">Q2*1.02</f>
        <v>74726480.614794001</v>
      </c>
      <c r="S2" s="36">
        <f t="shared" ref="S2" si="2">R2*1.02</f>
        <v>76221010.227089882</v>
      </c>
    </row>
    <row r="3" spans="2:19" x14ac:dyDescent="0.35">
      <c r="C3" s="33" t="s">
        <v>49</v>
      </c>
      <c r="D3" s="35"/>
      <c r="E3" s="37">
        <f>E2/27500000</f>
        <v>2.1005818181818183</v>
      </c>
      <c r="F3" s="37">
        <f t="shared" ref="F3:S3" si="3">F2/27500000</f>
        <v>2.1425934545454544</v>
      </c>
      <c r="G3" s="37">
        <f t="shared" si="3"/>
        <v>2.1854453236363636</v>
      </c>
      <c r="H3" s="37">
        <f t="shared" si="3"/>
        <v>2.2291542301090908</v>
      </c>
      <c r="I3" s="37">
        <f t="shared" si="3"/>
        <v>2.2737373147112727</v>
      </c>
      <c r="J3" s="37">
        <f t="shared" si="3"/>
        <v>2.3192120610054983</v>
      </c>
      <c r="K3" s="37">
        <f t="shared" si="3"/>
        <v>2.3655963022256086</v>
      </c>
      <c r="L3" s="37">
        <f t="shared" si="3"/>
        <v>2.4129082282701209</v>
      </c>
      <c r="M3" s="37">
        <f t="shared" si="3"/>
        <v>2.4611663928355232</v>
      </c>
      <c r="N3" s="37">
        <f t="shared" si="3"/>
        <v>2.5103897206922334</v>
      </c>
      <c r="O3" s="37">
        <f t="shared" si="3"/>
        <v>2.5605975151060782</v>
      </c>
      <c r="P3" s="37">
        <f t="shared" si="3"/>
        <v>2.6118094654082</v>
      </c>
      <c r="Q3" s="37">
        <f t="shared" si="3"/>
        <v>2.664045654716364</v>
      </c>
      <c r="R3" s="37">
        <f t="shared" si="3"/>
        <v>2.7173265678106908</v>
      </c>
      <c r="S3" s="37">
        <f t="shared" si="3"/>
        <v>2.7716730991669047</v>
      </c>
    </row>
    <row r="5" spans="2:19" x14ac:dyDescent="0.35">
      <c r="B5" s="38" t="s">
        <v>0</v>
      </c>
      <c r="C5" s="33"/>
      <c r="D5" s="33" t="s">
        <v>7</v>
      </c>
      <c r="E5" s="33" t="s">
        <v>14</v>
      </c>
      <c r="F5" s="33" t="s">
        <v>16</v>
      </c>
      <c r="G5" s="33" t="s">
        <v>17</v>
      </c>
      <c r="H5" s="33" t="s">
        <v>15</v>
      </c>
    </row>
    <row r="6" spans="2:19" x14ac:dyDescent="0.35">
      <c r="B6" s="77" t="s">
        <v>41</v>
      </c>
      <c r="C6" s="33" t="s">
        <v>21</v>
      </c>
      <c r="D6" s="33">
        <v>1</v>
      </c>
      <c r="E6" s="36">
        <v>200000</v>
      </c>
      <c r="F6" s="36">
        <f>D6*E6</f>
        <v>200000</v>
      </c>
      <c r="G6" s="36">
        <f>F6*12</f>
        <v>2400000</v>
      </c>
      <c r="H6" s="36">
        <f>G6*1.21</f>
        <v>2904000</v>
      </c>
    </row>
    <row r="7" spans="2:19" x14ac:dyDescent="0.35">
      <c r="B7" s="78"/>
      <c r="C7" s="33" t="s">
        <v>22</v>
      </c>
      <c r="D7" s="33">
        <v>2</v>
      </c>
      <c r="E7" s="36">
        <v>50000</v>
      </c>
      <c r="F7" s="36">
        <f t="shared" ref="F7:F17" si="4">D7*E7</f>
        <v>100000</v>
      </c>
      <c r="G7" s="36">
        <f t="shared" ref="G7:G17" si="5">F7*12</f>
        <v>1200000</v>
      </c>
      <c r="H7" s="36">
        <f t="shared" ref="H7:H17" si="6">G7*1.21</f>
        <v>1452000</v>
      </c>
    </row>
    <row r="8" spans="2:19" x14ac:dyDescent="0.35">
      <c r="B8" s="78"/>
      <c r="C8" s="33" t="s">
        <v>8</v>
      </c>
      <c r="D8" s="33">
        <v>3</v>
      </c>
      <c r="E8" s="36">
        <v>100000</v>
      </c>
      <c r="F8" s="36">
        <f t="shared" si="4"/>
        <v>300000</v>
      </c>
      <c r="G8" s="36">
        <f t="shared" si="5"/>
        <v>3600000</v>
      </c>
      <c r="H8" s="36">
        <f t="shared" si="6"/>
        <v>4356000</v>
      </c>
    </row>
    <row r="9" spans="2:19" x14ac:dyDescent="0.35">
      <c r="B9" s="78"/>
      <c r="C9" s="33" t="s">
        <v>66</v>
      </c>
      <c r="D9" s="33">
        <v>1</v>
      </c>
      <c r="E9" s="36">
        <v>50000</v>
      </c>
      <c r="F9" s="36">
        <f t="shared" si="4"/>
        <v>50000</v>
      </c>
      <c r="G9" s="36">
        <f t="shared" si="5"/>
        <v>600000</v>
      </c>
      <c r="H9" s="36">
        <f t="shared" si="6"/>
        <v>726000</v>
      </c>
      <c r="I9" s="32" t="s">
        <v>75</v>
      </c>
    </row>
    <row r="10" spans="2:19" x14ac:dyDescent="0.35">
      <c r="B10" s="78"/>
      <c r="C10" s="33" t="s">
        <v>67</v>
      </c>
      <c r="D10" s="33">
        <v>1</v>
      </c>
      <c r="E10" s="36">
        <v>50000</v>
      </c>
      <c r="F10" s="36">
        <f t="shared" si="4"/>
        <v>50000</v>
      </c>
      <c r="G10" s="36">
        <f t="shared" si="5"/>
        <v>600000</v>
      </c>
      <c r="H10" s="36">
        <f t="shared" si="6"/>
        <v>726000</v>
      </c>
      <c r="I10" s="32" t="s">
        <v>75</v>
      </c>
    </row>
    <row r="11" spans="2:19" ht="60" customHeight="1" x14ac:dyDescent="0.35">
      <c r="B11" s="78"/>
      <c r="C11" s="33" t="s">
        <v>5</v>
      </c>
      <c r="D11" s="33">
        <v>1</v>
      </c>
      <c r="E11" s="36">
        <v>450000</v>
      </c>
      <c r="F11" s="36">
        <f t="shared" si="4"/>
        <v>450000</v>
      </c>
      <c r="G11" s="36">
        <f t="shared" si="5"/>
        <v>5400000</v>
      </c>
      <c r="H11" s="36">
        <f t="shared" si="6"/>
        <v>6534000</v>
      </c>
    </row>
    <row r="12" spans="2:19" x14ac:dyDescent="0.35">
      <c r="B12" s="78"/>
      <c r="C12" s="33" t="s">
        <v>6</v>
      </c>
      <c r="D12" s="33">
        <v>0</v>
      </c>
      <c r="E12" s="36">
        <v>0</v>
      </c>
      <c r="F12" s="36">
        <f t="shared" si="4"/>
        <v>0</v>
      </c>
      <c r="G12" s="36">
        <f t="shared" si="5"/>
        <v>0</v>
      </c>
      <c r="H12" s="36">
        <f t="shared" si="6"/>
        <v>0</v>
      </c>
    </row>
    <row r="13" spans="2:19" x14ac:dyDescent="0.35">
      <c r="B13" s="78"/>
      <c r="C13" s="33" t="s">
        <v>9</v>
      </c>
      <c r="D13" s="33">
        <v>0</v>
      </c>
      <c r="E13" s="36">
        <v>150000</v>
      </c>
      <c r="F13" s="36">
        <f t="shared" si="4"/>
        <v>0</v>
      </c>
      <c r="G13" s="36">
        <f>F13*12</f>
        <v>0</v>
      </c>
      <c r="H13" s="36">
        <f t="shared" si="6"/>
        <v>0</v>
      </c>
    </row>
    <row r="14" spans="2:19" x14ac:dyDescent="0.35">
      <c r="B14" s="78"/>
      <c r="C14" s="33" t="s">
        <v>10</v>
      </c>
      <c r="D14" s="33">
        <v>1</v>
      </c>
      <c r="E14" s="36">
        <v>200000</v>
      </c>
      <c r="F14" s="36">
        <f t="shared" si="4"/>
        <v>200000</v>
      </c>
      <c r="G14" s="36">
        <f t="shared" si="5"/>
        <v>2400000</v>
      </c>
      <c r="H14" s="36">
        <f t="shared" si="6"/>
        <v>2904000</v>
      </c>
    </row>
    <row r="15" spans="2:19" x14ac:dyDescent="0.35">
      <c r="B15" s="78"/>
      <c r="C15" s="33" t="s">
        <v>11</v>
      </c>
      <c r="D15" s="33">
        <v>1</v>
      </c>
      <c r="E15" s="36">
        <v>200000</v>
      </c>
      <c r="F15" s="36">
        <f t="shared" si="4"/>
        <v>200000</v>
      </c>
      <c r="G15" s="36">
        <f t="shared" si="5"/>
        <v>2400000</v>
      </c>
      <c r="H15" s="36">
        <f t="shared" si="6"/>
        <v>2904000</v>
      </c>
    </row>
    <row r="16" spans="2:19" x14ac:dyDescent="0.35">
      <c r="B16" s="78"/>
      <c r="C16" s="33" t="s">
        <v>12</v>
      </c>
      <c r="D16" s="33">
        <v>2</v>
      </c>
      <c r="E16" s="36">
        <v>250000</v>
      </c>
      <c r="F16" s="36">
        <f t="shared" si="4"/>
        <v>500000</v>
      </c>
      <c r="G16" s="36">
        <f t="shared" si="5"/>
        <v>6000000</v>
      </c>
      <c r="H16" s="36">
        <f t="shared" si="6"/>
        <v>7260000</v>
      </c>
    </row>
    <row r="17" spans="2:10" x14ac:dyDescent="0.35">
      <c r="B17" s="79"/>
      <c r="C17" s="33" t="s">
        <v>13</v>
      </c>
      <c r="D17" s="33">
        <v>0</v>
      </c>
      <c r="E17" s="36">
        <v>0</v>
      </c>
      <c r="F17" s="36">
        <f t="shared" si="4"/>
        <v>0</v>
      </c>
      <c r="G17" s="36">
        <f t="shared" si="5"/>
        <v>0</v>
      </c>
      <c r="H17" s="36">
        <f t="shared" si="6"/>
        <v>0</v>
      </c>
    </row>
    <row r="18" spans="2:10" x14ac:dyDescent="0.35">
      <c r="C18" s="33" t="s">
        <v>28</v>
      </c>
      <c r="D18" s="33">
        <f>SUM(D6:D17)</f>
        <v>13</v>
      </c>
      <c r="E18" s="36">
        <f>SUM(E6:E17)</f>
        <v>1700000</v>
      </c>
      <c r="F18" s="36">
        <f>SUM(F6:F17)</f>
        <v>2050000</v>
      </c>
      <c r="G18" s="36">
        <f>SUM(G6:G17)</f>
        <v>24600000</v>
      </c>
      <c r="H18" s="36">
        <f>SUM(H6:H17)</f>
        <v>29766000</v>
      </c>
    </row>
    <row r="19" spans="2:10" x14ac:dyDescent="0.35">
      <c r="E19" s="39"/>
      <c r="F19" s="39"/>
      <c r="G19" s="39"/>
      <c r="H19" s="39"/>
    </row>
    <row r="22" spans="2:10" x14ac:dyDescent="0.35">
      <c r="B22" s="40" t="s">
        <v>2</v>
      </c>
      <c r="C22" s="33" t="s">
        <v>18</v>
      </c>
      <c r="D22" s="33"/>
      <c r="E22" s="36">
        <v>3000000</v>
      </c>
      <c r="F22" s="33"/>
    </row>
    <row r="23" spans="2:10" x14ac:dyDescent="0.35">
      <c r="B23" s="42"/>
      <c r="C23" s="33" t="s">
        <v>20</v>
      </c>
      <c r="D23" s="33"/>
      <c r="E23" s="36">
        <v>7000000</v>
      </c>
      <c r="F23" s="33"/>
    </row>
    <row r="24" spans="2:10" x14ac:dyDescent="0.35">
      <c r="D24" s="33" t="s">
        <v>28</v>
      </c>
      <c r="E24" s="36">
        <f>SUM(E22:E23)</f>
        <v>10000000</v>
      </c>
      <c r="F24" s="43" t="s">
        <v>45</v>
      </c>
    </row>
    <row r="25" spans="2:10" x14ac:dyDescent="0.35">
      <c r="E25" s="39"/>
      <c r="I25" s="39"/>
      <c r="J25" s="39"/>
    </row>
    <row r="26" spans="2:10" s="49" customFormat="1" x14ac:dyDescent="0.35">
      <c r="E26" s="50"/>
      <c r="G26" s="49" t="s">
        <v>60</v>
      </c>
    </row>
    <row r="27" spans="2:10" s="49" customFormat="1" x14ac:dyDescent="0.35">
      <c r="B27" s="51" t="s">
        <v>4</v>
      </c>
      <c r="C27" s="52" t="s">
        <v>50</v>
      </c>
      <c r="D27" s="53"/>
      <c r="E27" s="54"/>
      <c r="F27" s="54"/>
      <c r="G27" s="55"/>
      <c r="H27" s="56" t="s">
        <v>45</v>
      </c>
      <c r="I27" s="49">
        <v>9000000</v>
      </c>
    </row>
    <row r="28" spans="2:10" s="49" customFormat="1" x14ac:dyDescent="0.35">
      <c r="B28" s="57" t="s">
        <v>43</v>
      </c>
      <c r="C28" s="52" t="s">
        <v>58</v>
      </c>
      <c r="D28" s="53"/>
      <c r="E28" s="58"/>
      <c r="F28" s="54"/>
      <c r="G28" s="55"/>
      <c r="H28" s="56" t="s">
        <v>45</v>
      </c>
      <c r="I28" s="49">
        <v>1000000</v>
      </c>
    </row>
    <row r="29" spans="2:10" s="49" customFormat="1" x14ac:dyDescent="0.35">
      <c r="B29" s="59"/>
      <c r="C29" s="52" t="s">
        <v>44</v>
      </c>
      <c r="D29" s="53"/>
      <c r="E29" s="58"/>
      <c r="F29" s="54"/>
      <c r="G29" s="55"/>
      <c r="H29" s="56" t="s">
        <v>45</v>
      </c>
      <c r="I29" s="49">
        <v>0</v>
      </c>
      <c r="J29" s="49" t="s">
        <v>70</v>
      </c>
    </row>
    <row r="30" spans="2:10" s="49" customFormat="1" x14ac:dyDescent="0.35">
      <c r="D30" s="52" t="s">
        <v>28</v>
      </c>
      <c r="E30" s="60">
        <f>G30</f>
        <v>0</v>
      </c>
      <c r="F30" s="61" t="s">
        <v>45</v>
      </c>
      <c r="G30" s="60"/>
      <c r="H30" s="56" t="s">
        <v>45</v>
      </c>
      <c r="I30" s="49">
        <v>10000000</v>
      </c>
    </row>
    <row r="31" spans="2:10" x14ac:dyDescent="0.35">
      <c r="E31" s="39"/>
      <c r="F31" s="45"/>
    </row>
    <row r="32" spans="2:10" x14ac:dyDescent="0.35">
      <c r="B32" s="40" t="s">
        <v>3</v>
      </c>
      <c r="C32" s="33" t="s">
        <v>19</v>
      </c>
      <c r="D32" s="34"/>
      <c r="E32" s="44">
        <v>3000000</v>
      </c>
      <c r="F32" s="34" t="s">
        <v>71</v>
      </c>
      <c r="G32" s="35"/>
    </row>
    <row r="33" spans="2:7" x14ac:dyDescent="0.35">
      <c r="B33" s="41"/>
      <c r="C33" s="33" t="s">
        <v>46</v>
      </c>
      <c r="D33" s="34"/>
      <c r="E33" s="44">
        <v>12000000</v>
      </c>
      <c r="F33" s="34" t="s">
        <v>74</v>
      </c>
      <c r="G33" s="35"/>
    </row>
    <row r="34" spans="2:7" x14ac:dyDescent="0.35">
      <c r="B34" s="42"/>
      <c r="C34" s="33" t="s">
        <v>47</v>
      </c>
      <c r="D34" s="34"/>
      <c r="E34" s="44">
        <v>3000000</v>
      </c>
      <c r="F34" s="34" t="s">
        <v>65</v>
      </c>
      <c r="G34" s="35"/>
    </row>
    <row r="35" spans="2:7" x14ac:dyDescent="0.35">
      <c r="D35" s="33" t="s">
        <v>28</v>
      </c>
      <c r="E35" s="36">
        <f>SUM(E32:E34)</f>
        <v>18000000</v>
      </c>
      <c r="F35" s="46" t="s">
        <v>45</v>
      </c>
    </row>
  </sheetData>
  <mergeCells count="1">
    <mergeCell ref="B6:B1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Összefoglaló-megtérülés</vt:lpstr>
      <vt:lpstr>Árbevétel</vt:lpstr>
      <vt:lpstr>Kapacitás számítás</vt:lpstr>
      <vt:lpstr>Költség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2019-02-28T06:18:09Z</dcterms:modified>
</cp:coreProperties>
</file>